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06ed18cbc4a3c7ec/Personal/SNUG HARBOR HOA/Budget and Finance/2024/5 Yearch Budge Projection/"/>
    </mc:Choice>
  </mc:AlternateContent>
  <xr:revisionPtr revIDLastSave="0" documentId="8_{CDD58451-8C58-4A4D-A455-D1564A59E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 Year Projection" sheetId="1" r:id="rId1"/>
  </sheets>
  <definedNames>
    <definedName name="_xlnm.Print_Area" localSheetId="0">'5 Year Projection'!$A$1:$BI$79</definedName>
    <definedName name="_xlnm.Print_Titles" localSheetId="0">'5 Year Projection'!$1:$4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H58" i="1" l="1"/>
  <c r="BG58" i="1"/>
  <c r="BF58" i="1"/>
  <c r="BH56" i="1"/>
  <c r="BG56" i="1"/>
  <c r="BF56" i="1"/>
  <c r="BH51" i="1"/>
  <c r="BG51" i="1"/>
  <c r="BF51" i="1"/>
  <c r="BE51" i="1"/>
  <c r="BH29" i="1"/>
  <c r="BG29" i="1"/>
  <c r="BF29" i="1"/>
  <c r="BH25" i="1"/>
  <c r="BG25" i="1"/>
  <c r="BF25" i="1"/>
  <c r="BH24" i="1"/>
  <c r="BE9" i="1"/>
  <c r="BC9" i="1"/>
  <c r="BF8" i="1"/>
  <c r="BF70" i="1" l="1"/>
  <c r="BC10" i="1"/>
  <c r="BC74" i="1" s="1"/>
  <c r="BC70" i="1"/>
  <c r="BC72" i="1" s="1"/>
  <c r="BF71" i="1" l="1"/>
  <c r="BF72" i="1" s="1"/>
  <c r="BC79" i="1"/>
  <c r="BG70" i="1"/>
  <c r="BG71" i="1" s="1"/>
  <c r="BB8" i="1"/>
  <c r="BB10" i="1" s="1"/>
  <c r="BB74" i="1" s="1"/>
  <c r="BB14" i="1"/>
  <c r="BB19" i="1"/>
  <c r="BA70" i="1"/>
  <c r="BA10" i="1"/>
  <c r="BA74" i="1" s="1"/>
  <c r="BG72" i="1" l="1"/>
  <c r="BH70" i="1"/>
  <c r="BH71" i="1" s="1"/>
  <c r="BB70" i="1"/>
  <c r="BB71" i="1" s="1"/>
  <c r="BB72" i="1" s="1"/>
  <c r="BB79" i="1" s="1"/>
  <c r="BB77" i="1"/>
  <c r="BA77" i="1"/>
  <c r="BA72" i="1"/>
  <c r="BA79" i="1" s="1"/>
  <c r="AU32" i="1"/>
  <c r="AW32" i="1" s="1"/>
  <c r="AQ32" i="1"/>
  <c r="AR32" i="1" s="1"/>
  <c r="AM32" i="1"/>
  <c r="AO32" i="1" s="1"/>
  <c r="AI32" i="1"/>
  <c r="AJ32" i="1" s="1"/>
  <c r="AE32" i="1"/>
  <c r="AF32" i="1" s="1"/>
  <c r="AA32" i="1"/>
  <c r="AC32" i="1" s="1"/>
  <c r="W32" i="1"/>
  <c r="Y32" i="1" s="1"/>
  <c r="S32" i="1"/>
  <c r="T32" i="1" s="1"/>
  <c r="O32" i="1"/>
  <c r="Q32" i="1" s="1"/>
  <c r="K32" i="1"/>
  <c r="L32" i="1" s="1"/>
  <c r="G32" i="1"/>
  <c r="I32" i="1" s="1"/>
  <c r="C32" i="1"/>
  <c r="D32" i="1" s="1"/>
  <c r="BH72" i="1" l="1"/>
  <c r="AK32" i="1"/>
  <c r="U32" i="1"/>
  <c r="E32" i="1"/>
  <c r="P32" i="1"/>
  <c r="AG32" i="1"/>
  <c r="AB32" i="1"/>
  <c r="H32" i="1"/>
  <c r="M32" i="1"/>
  <c r="X32" i="1"/>
  <c r="AN32" i="1"/>
  <c r="AS32" i="1"/>
  <c r="AV32" i="1"/>
  <c r="C8" i="1"/>
  <c r="G8" i="1"/>
  <c r="K8" i="1"/>
  <c r="O8" i="1"/>
  <c r="S8" i="1"/>
  <c r="W8" i="1"/>
  <c r="AA8" i="1"/>
  <c r="AC8" i="1" s="1"/>
  <c r="AE8" i="1"/>
  <c r="AG8" i="1" s="1"/>
  <c r="AI8" i="1"/>
  <c r="AK8" i="1" s="1"/>
  <c r="AM8" i="1"/>
  <c r="AN8" i="1" s="1"/>
  <c r="AQ8" i="1"/>
  <c r="AS8" i="1" s="1"/>
  <c r="AU8" i="1"/>
  <c r="AX19" i="1"/>
  <c r="C24" i="1"/>
  <c r="G24" i="1"/>
  <c r="K24" i="1"/>
  <c r="M24" i="1" s="1"/>
  <c r="O24" i="1"/>
  <c r="S24" i="1"/>
  <c r="W24" i="1"/>
  <c r="AA24" i="1"/>
  <c r="AC24" i="1" s="1"/>
  <c r="AE24" i="1"/>
  <c r="AG24" i="1" s="1"/>
  <c r="AI24" i="1"/>
  <c r="AK24" i="1" s="1"/>
  <c r="AM24" i="1"/>
  <c r="AO24" i="1" s="1"/>
  <c r="AQ24" i="1"/>
  <c r="AS24" i="1" s="1"/>
  <c r="AU24" i="1"/>
  <c r="AV24" i="1" s="1"/>
  <c r="C25" i="1"/>
  <c r="G25" i="1"/>
  <c r="K25" i="1"/>
  <c r="L25" i="1" s="1"/>
  <c r="O25" i="1"/>
  <c r="S25" i="1"/>
  <c r="W25" i="1"/>
  <c r="AA25" i="1"/>
  <c r="AC25" i="1" s="1"/>
  <c r="AE25" i="1"/>
  <c r="AI25" i="1"/>
  <c r="AK25" i="1" s="1"/>
  <c r="AM25" i="1"/>
  <c r="AO25" i="1" s="1"/>
  <c r="AQ25" i="1"/>
  <c r="AR25" i="1" s="1"/>
  <c r="AU25" i="1"/>
  <c r="C50" i="1"/>
  <c r="G50" i="1"/>
  <c r="I50" i="1" s="1"/>
  <c r="K50" i="1"/>
  <c r="M50" i="1" s="1"/>
  <c r="O50" i="1"/>
  <c r="S50" i="1"/>
  <c r="W50" i="1"/>
  <c r="Y50" i="1" s="1"/>
  <c r="AA50" i="1"/>
  <c r="AC50" i="1" s="1"/>
  <c r="AE50" i="1"/>
  <c r="AF50" i="1" s="1"/>
  <c r="AI50" i="1"/>
  <c r="AM50" i="1"/>
  <c r="AO50" i="1" s="1"/>
  <c r="AQ50" i="1"/>
  <c r="AU50" i="1"/>
  <c r="AV50" i="1" s="1"/>
  <c r="AZ19" i="1"/>
  <c r="C13" i="1"/>
  <c r="G13" i="1"/>
  <c r="K13" i="1"/>
  <c r="O13" i="1"/>
  <c r="S13" i="1"/>
  <c r="W13" i="1"/>
  <c r="Y13" i="1" s="1"/>
  <c r="AA13" i="1"/>
  <c r="AC13" i="1" s="1"/>
  <c r="AE13" i="1"/>
  <c r="AG13" i="1" s="1"/>
  <c r="AI13" i="1"/>
  <c r="AM13" i="1"/>
  <c r="AN13" i="1" s="1"/>
  <c r="AQ13" i="1"/>
  <c r="AS13" i="1" s="1"/>
  <c r="AU13" i="1"/>
  <c r="AV13" i="1" s="1"/>
  <c r="C16" i="1"/>
  <c r="E16" i="1" s="1"/>
  <c r="G16" i="1"/>
  <c r="I16" i="1" s="1"/>
  <c r="K16" i="1"/>
  <c r="L16" i="1" s="1"/>
  <c r="O16" i="1"/>
  <c r="Q16" i="1" s="1"/>
  <c r="S16" i="1"/>
  <c r="U16" i="1" s="1"/>
  <c r="W16" i="1"/>
  <c r="AA16" i="1"/>
  <c r="AC16" i="1" s="1"/>
  <c r="AE16" i="1"/>
  <c r="AG16" i="1" s="1"/>
  <c r="AI16" i="1"/>
  <c r="AK16" i="1" s="1"/>
  <c r="AM16" i="1"/>
  <c r="AO16" i="1" s="1"/>
  <c r="AQ16" i="1"/>
  <c r="AS16" i="1" s="1"/>
  <c r="AU16" i="1"/>
  <c r="AW16" i="1" s="1"/>
  <c r="C28" i="1"/>
  <c r="G28" i="1"/>
  <c r="I28" i="1" s="1"/>
  <c r="K28" i="1"/>
  <c r="M28" i="1" s="1"/>
  <c r="O28" i="1"/>
  <c r="P28" i="1" s="1"/>
  <c r="S28" i="1"/>
  <c r="W28" i="1"/>
  <c r="AA28" i="1"/>
  <c r="AB28" i="1" s="1"/>
  <c r="AE28" i="1"/>
  <c r="AG28" i="1" s="1"/>
  <c r="AI28" i="1"/>
  <c r="AM28" i="1"/>
  <c r="AO28" i="1" s="1"/>
  <c r="AQ28" i="1"/>
  <c r="AR28" i="1" s="1"/>
  <c r="AU28" i="1"/>
  <c r="C34" i="1"/>
  <c r="E34" i="1" s="1"/>
  <c r="G34" i="1"/>
  <c r="I34" i="1" s="1"/>
  <c r="K34" i="1"/>
  <c r="M34" i="1" s="1"/>
  <c r="O34" i="1"/>
  <c r="S34" i="1"/>
  <c r="W34" i="1"/>
  <c r="AA34" i="1"/>
  <c r="AC34" i="1" s="1"/>
  <c r="AE34" i="1"/>
  <c r="AG34" i="1" s="1"/>
  <c r="AI34" i="1"/>
  <c r="AK34" i="1" s="1"/>
  <c r="AM34" i="1"/>
  <c r="AO34" i="1" s="1"/>
  <c r="AQ34" i="1"/>
  <c r="AR34" i="1" s="1"/>
  <c r="AU34" i="1"/>
  <c r="AW34" i="1" s="1"/>
  <c r="C35" i="1"/>
  <c r="G35" i="1"/>
  <c r="I35" i="1" s="1"/>
  <c r="K35" i="1"/>
  <c r="M35" i="1" s="1"/>
  <c r="O35" i="1"/>
  <c r="Q35" i="1" s="1"/>
  <c r="S35" i="1"/>
  <c r="W35" i="1"/>
  <c r="AA35" i="1"/>
  <c r="AB35" i="1" s="1"/>
  <c r="AE35" i="1"/>
  <c r="AF35" i="1" s="1"/>
  <c r="AI35" i="1"/>
  <c r="AM35" i="1"/>
  <c r="AN35" i="1" s="1"/>
  <c r="AQ35" i="1"/>
  <c r="AS35" i="1" s="1"/>
  <c r="AU35" i="1"/>
  <c r="AV35" i="1" s="1"/>
  <c r="C36" i="1"/>
  <c r="G36" i="1"/>
  <c r="H36" i="1" s="1"/>
  <c r="K36" i="1"/>
  <c r="M36" i="1" s="1"/>
  <c r="O36" i="1"/>
  <c r="P36" i="1" s="1"/>
  <c r="S36" i="1"/>
  <c r="W36" i="1"/>
  <c r="Y36" i="1" s="1"/>
  <c r="AA36" i="1"/>
  <c r="AC36" i="1" s="1"/>
  <c r="AE36" i="1"/>
  <c r="AG36" i="1" s="1"/>
  <c r="AI36" i="1"/>
  <c r="AK36" i="1" s="1"/>
  <c r="AM36" i="1"/>
  <c r="AO36" i="1" s="1"/>
  <c r="AQ36" i="1"/>
  <c r="AR36" i="1" s="1"/>
  <c r="AU36" i="1"/>
  <c r="AW36" i="1" s="1"/>
  <c r="C46" i="1"/>
  <c r="G46" i="1"/>
  <c r="H46" i="1" s="1"/>
  <c r="K46" i="1"/>
  <c r="M46" i="1" s="1"/>
  <c r="O46" i="1"/>
  <c r="S46" i="1"/>
  <c r="W46" i="1"/>
  <c r="AA46" i="1"/>
  <c r="AB46" i="1" s="1"/>
  <c r="AE46" i="1"/>
  <c r="AI46" i="1"/>
  <c r="AM46" i="1"/>
  <c r="AQ46" i="1"/>
  <c r="AS46" i="1" s="1"/>
  <c r="AU46" i="1"/>
  <c r="AW46" i="1" s="1"/>
  <c r="C47" i="1"/>
  <c r="G47" i="1"/>
  <c r="I47" i="1" s="1"/>
  <c r="K47" i="1"/>
  <c r="M47" i="1" s="1"/>
  <c r="O47" i="1"/>
  <c r="P47" i="1" s="1"/>
  <c r="S47" i="1"/>
  <c r="T47" i="1" s="1"/>
  <c r="W47" i="1"/>
  <c r="AA47" i="1"/>
  <c r="AB47" i="1" s="1"/>
  <c r="AE47" i="1"/>
  <c r="AI47" i="1"/>
  <c r="AJ47" i="1" s="1"/>
  <c r="AM47" i="1"/>
  <c r="AO47" i="1" s="1"/>
  <c r="AQ47" i="1"/>
  <c r="AR47" i="1" s="1"/>
  <c r="AU47" i="1"/>
  <c r="AV47" i="1" s="1"/>
  <c r="C49" i="1"/>
  <c r="G49" i="1"/>
  <c r="K49" i="1"/>
  <c r="O49" i="1"/>
  <c r="S49" i="1"/>
  <c r="W49" i="1"/>
  <c r="AA49" i="1"/>
  <c r="AB49" i="1" s="1"/>
  <c r="AE49" i="1"/>
  <c r="AI49" i="1"/>
  <c r="AM49" i="1"/>
  <c r="AQ49" i="1"/>
  <c r="AS49" i="1" s="1"/>
  <c r="AU49" i="1"/>
  <c r="AW49" i="1" s="1"/>
  <c r="C51" i="1"/>
  <c r="G51" i="1"/>
  <c r="K51" i="1"/>
  <c r="L51" i="1" s="1"/>
  <c r="O51" i="1"/>
  <c r="Q51" i="1" s="1"/>
  <c r="S51" i="1"/>
  <c r="W51" i="1"/>
  <c r="AA51" i="1"/>
  <c r="AC51" i="1" s="1"/>
  <c r="AE51" i="1"/>
  <c r="AF51" i="1" s="1"/>
  <c r="AI51" i="1"/>
  <c r="AJ51" i="1" s="1"/>
  <c r="AM51" i="1"/>
  <c r="AQ51" i="1"/>
  <c r="AR51" i="1" s="1"/>
  <c r="AU51" i="1"/>
  <c r="AW51" i="1" s="1"/>
  <c r="C53" i="1"/>
  <c r="G53" i="1"/>
  <c r="K53" i="1"/>
  <c r="O53" i="1"/>
  <c r="S53" i="1"/>
  <c r="W53" i="1"/>
  <c r="AA53" i="1"/>
  <c r="AB53" i="1" s="1"/>
  <c r="AE53" i="1"/>
  <c r="AF53" i="1" s="1"/>
  <c r="AI53" i="1"/>
  <c r="AK53" i="1" s="1"/>
  <c r="AM53" i="1"/>
  <c r="AQ53" i="1"/>
  <c r="AS53" i="1" s="1"/>
  <c r="AU53" i="1"/>
  <c r="AW53" i="1" s="1"/>
  <c r="C55" i="1"/>
  <c r="G55" i="1"/>
  <c r="K55" i="1"/>
  <c r="L55" i="1" s="1"/>
  <c r="O55" i="1"/>
  <c r="S55" i="1"/>
  <c r="W55" i="1"/>
  <c r="AA55" i="1"/>
  <c r="AC55" i="1" s="1"/>
  <c r="AE55" i="1"/>
  <c r="AF55" i="1" s="1"/>
  <c r="AI55" i="1"/>
  <c r="AM55" i="1"/>
  <c r="AN55" i="1" s="1"/>
  <c r="AQ55" i="1"/>
  <c r="AR55" i="1" s="1"/>
  <c r="AU55" i="1"/>
  <c r="C56" i="1"/>
  <c r="G56" i="1"/>
  <c r="H56" i="1" s="1"/>
  <c r="K56" i="1"/>
  <c r="O56" i="1"/>
  <c r="S56" i="1"/>
  <c r="T56" i="1" s="1"/>
  <c r="W56" i="1"/>
  <c r="X56" i="1" s="1"/>
  <c r="AA56" i="1"/>
  <c r="AB56" i="1" s="1"/>
  <c r="AE56" i="1"/>
  <c r="AI56" i="1"/>
  <c r="AJ56" i="1" s="1"/>
  <c r="AM56" i="1"/>
  <c r="AN56" i="1" s="1"/>
  <c r="AQ56" i="1"/>
  <c r="AS56" i="1" s="1"/>
  <c r="AU56" i="1"/>
  <c r="AV56" i="1" s="1"/>
  <c r="C58" i="1"/>
  <c r="G58" i="1"/>
  <c r="H58" i="1" s="1"/>
  <c r="K58" i="1"/>
  <c r="L58" i="1" s="1"/>
  <c r="O58" i="1"/>
  <c r="S58" i="1"/>
  <c r="W58" i="1"/>
  <c r="X58" i="1" s="1"/>
  <c r="AA58" i="1"/>
  <c r="AB58" i="1" s="1"/>
  <c r="AE58" i="1"/>
  <c r="AF58" i="1" s="1"/>
  <c r="AI58" i="1"/>
  <c r="AM58" i="1"/>
  <c r="AQ58" i="1"/>
  <c r="AS58" i="1" s="1"/>
  <c r="AU58" i="1"/>
  <c r="C60" i="1"/>
  <c r="G60" i="1"/>
  <c r="H60" i="1" s="1"/>
  <c r="K60" i="1"/>
  <c r="O60" i="1"/>
  <c r="S60" i="1"/>
  <c r="U60" i="1" s="1"/>
  <c r="W60" i="1"/>
  <c r="AA60" i="1"/>
  <c r="AB60" i="1" s="1"/>
  <c r="AE60" i="1"/>
  <c r="AI60" i="1"/>
  <c r="AM60" i="1"/>
  <c r="AN60" i="1" s="1"/>
  <c r="AQ60" i="1"/>
  <c r="AS60" i="1" s="1"/>
  <c r="AU60" i="1"/>
  <c r="AV60" i="1" s="1"/>
  <c r="C62" i="1"/>
  <c r="G62" i="1"/>
  <c r="H62" i="1" s="1"/>
  <c r="K62" i="1"/>
  <c r="L62" i="1" s="1"/>
  <c r="O62" i="1"/>
  <c r="S62" i="1"/>
  <c r="W62" i="1"/>
  <c r="X62" i="1" s="1"/>
  <c r="AA62" i="1"/>
  <c r="AC62" i="1" s="1"/>
  <c r="AE62" i="1"/>
  <c r="AF62" i="1" s="1"/>
  <c r="AI62" i="1"/>
  <c r="AM62" i="1"/>
  <c r="AQ62" i="1"/>
  <c r="AS62" i="1" s="1"/>
  <c r="AU62" i="1"/>
  <c r="AV62" i="1" s="1"/>
  <c r="AX6" i="1"/>
  <c r="C7" i="1"/>
  <c r="G7" i="1"/>
  <c r="K7" i="1"/>
  <c r="O7" i="1"/>
  <c r="S7" i="1"/>
  <c r="W7" i="1"/>
  <c r="AA7" i="1"/>
  <c r="AC7" i="1" s="1"/>
  <c r="AE7" i="1"/>
  <c r="AF7" i="1" s="1"/>
  <c r="AI7" i="1"/>
  <c r="AM7" i="1"/>
  <c r="AN7" i="1" s="1"/>
  <c r="AQ7" i="1"/>
  <c r="AU7" i="1"/>
  <c r="AW7" i="1" s="1"/>
  <c r="C63" i="1"/>
  <c r="D63" i="1" s="1"/>
  <c r="G63" i="1"/>
  <c r="H63" i="1" s="1"/>
  <c r="K63" i="1"/>
  <c r="M63" i="1" s="1"/>
  <c r="O63" i="1"/>
  <c r="Q63" i="1" s="1"/>
  <c r="S63" i="1"/>
  <c r="W63" i="1"/>
  <c r="X63" i="1" s="1"/>
  <c r="AA63" i="1"/>
  <c r="AE63" i="1"/>
  <c r="AG63" i="1" s="1"/>
  <c r="AI63" i="1"/>
  <c r="AK63" i="1" s="1"/>
  <c r="AM63" i="1"/>
  <c r="AN63" i="1" s="1"/>
  <c r="AQ63" i="1"/>
  <c r="AU63" i="1"/>
  <c r="AV63" i="1" s="1"/>
  <c r="C64" i="1"/>
  <c r="E64" i="1" s="1"/>
  <c r="G64" i="1"/>
  <c r="K64" i="1"/>
  <c r="O64" i="1"/>
  <c r="Q64" i="1" s="1"/>
  <c r="S64" i="1"/>
  <c r="W64" i="1"/>
  <c r="AA64" i="1"/>
  <c r="AE64" i="1"/>
  <c r="AF64" i="1" s="1"/>
  <c r="AI64" i="1"/>
  <c r="AK64" i="1" s="1"/>
  <c r="AM64" i="1"/>
  <c r="AN64" i="1" s="1"/>
  <c r="AQ64" i="1"/>
  <c r="AR64" i="1" s="1"/>
  <c r="AU64" i="1"/>
  <c r="AV64" i="1" s="1"/>
  <c r="C48" i="1"/>
  <c r="D48" i="1" s="1"/>
  <c r="G48" i="1"/>
  <c r="I48" i="1" s="1"/>
  <c r="K48" i="1"/>
  <c r="O48" i="1"/>
  <c r="P48" i="1" s="1"/>
  <c r="S48" i="1"/>
  <c r="U48" i="1" s="1"/>
  <c r="W48" i="1"/>
  <c r="X48" i="1" s="1"/>
  <c r="AA48" i="1"/>
  <c r="AC48" i="1" s="1"/>
  <c r="AE48" i="1"/>
  <c r="AF48" i="1" s="1"/>
  <c r="AI48" i="1"/>
  <c r="AM48" i="1"/>
  <c r="AN48" i="1" s="1"/>
  <c r="AQ48" i="1"/>
  <c r="AS48" i="1" s="1"/>
  <c r="AU48" i="1"/>
  <c r="AW48" i="1" s="1"/>
  <c r="C52" i="1"/>
  <c r="G52" i="1"/>
  <c r="H52" i="1" s="1"/>
  <c r="K52" i="1"/>
  <c r="M52" i="1" s="1"/>
  <c r="O52" i="1"/>
  <c r="Q52" i="1" s="1"/>
  <c r="S52" i="1"/>
  <c r="W52" i="1"/>
  <c r="X52" i="1" s="1"/>
  <c r="AA52" i="1"/>
  <c r="AE52" i="1"/>
  <c r="AG52" i="1" s="1"/>
  <c r="AI52" i="1"/>
  <c r="AM52" i="1"/>
  <c r="AN52" i="1" s="1"/>
  <c r="AQ52" i="1"/>
  <c r="AS52" i="1" s="1"/>
  <c r="AU52" i="1"/>
  <c r="AW52" i="1" s="1"/>
  <c r="C54" i="1"/>
  <c r="G54" i="1"/>
  <c r="K54" i="1"/>
  <c r="O54" i="1"/>
  <c r="S54" i="1"/>
  <c r="W54" i="1"/>
  <c r="AA54" i="1"/>
  <c r="AC54" i="1" s="1"/>
  <c r="AE54" i="1"/>
  <c r="AG54" i="1" s="1"/>
  <c r="AI54" i="1"/>
  <c r="AJ54" i="1" s="1"/>
  <c r="AM54" i="1"/>
  <c r="AN54" i="1" s="1"/>
  <c r="AQ54" i="1"/>
  <c r="AR54" i="1" s="1"/>
  <c r="AU54" i="1"/>
  <c r="AW54" i="1" s="1"/>
  <c r="C33" i="1"/>
  <c r="E33" i="1" s="1"/>
  <c r="G33" i="1"/>
  <c r="H33" i="1" s="1"/>
  <c r="K33" i="1"/>
  <c r="M33" i="1" s="1"/>
  <c r="O33" i="1"/>
  <c r="P33" i="1" s="1"/>
  <c r="S33" i="1"/>
  <c r="W33" i="1"/>
  <c r="AA33" i="1"/>
  <c r="AC33" i="1" s="1"/>
  <c r="AE33" i="1"/>
  <c r="AF33" i="1" s="1"/>
  <c r="AI33" i="1"/>
  <c r="AM33" i="1"/>
  <c r="AN33" i="1" s="1"/>
  <c r="AQ33" i="1"/>
  <c r="AU33" i="1"/>
  <c r="AW33" i="1" s="1"/>
  <c r="C26" i="1"/>
  <c r="C27" i="1"/>
  <c r="G26" i="1"/>
  <c r="G27" i="1"/>
  <c r="K26" i="1"/>
  <c r="M26" i="1" s="1"/>
  <c r="K27" i="1"/>
  <c r="M27" i="1" s="1"/>
  <c r="O26" i="1"/>
  <c r="O27" i="1"/>
  <c r="S26" i="1"/>
  <c r="S27" i="1"/>
  <c r="W26" i="1"/>
  <c r="W27" i="1"/>
  <c r="Y27" i="1" s="1"/>
  <c r="AA26" i="1"/>
  <c r="AA27" i="1"/>
  <c r="AC27" i="1" s="1"/>
  <c r="AE26" i="1"/>
  <c r="AG26" i="1" s="1"/>
  <c r="AE27" i="1"/>
  <c r="AF27" i="1" s="1"/>
  <c r="AI26" i="1"/>
  <c r="AK26" i="1" s="1"/>
  <c r="AI27" i="1"/>
  <c r="AK27" i="1" s="1"/>
  <c r="AM26" i="1"/>
  <c r="AO26" i="1" s="1"/>
  <c r="AM27" i="1"/>
  <c r="AO27" i="1" s="1"/>
  <c r="AQ26" i="1"/>
  <c r="AQ27" i="1"/>
  <c r="AS27" i="1" s="1"/>
  <c r="AU26" i="1"/>
  <c r="AW26" i="1" s="1"/>
  <c r="AU27" i="1"/>
  <c r="AV27" i="1" s="1"/>
  <c r="C21" i="1"/>
  <c r="D21" i="1" s="1"/>
  <c r="G21" i="1"/>
  <c r="I21" i="1" s="1"/>
  <c r="K21" i="1"/>
  <c r="O21" i="1"/>
  <c r="Q21" i="1" s="1"/>
  <c r="S21" i="1"/>
  <c r="W21" i="1"/>
  <c r="Y21" i="1" s="1"/>
  <c r="AA21" i="1"/>
  <c r="AC21" i="1" s="1"/>
  <c r="AE21" i="1"/>
  <c r="AG21" i="1" s="1"/>
  <c r="AI21" i="1"/>
  <c r="AM21" i="1"/>
  <c r="AO21" i="1" s="1"/>
  <c r="AQ21" i="1"/>
  <c r="AU21" i="1"/>
  <c r="AW21" i="1" s="1"/>
  <c r="C14" i="1"/>
  <c r="G14" i="1"/>
  <c r="K14" i="1"/>
  <c r="M14" i="1" s="1"/>
  <c r="O14" i="1"/>
  <c r="S14" i="1"/>
  <c r="W14" i="1"/>
  <c r="AA14" i="1"/>
  <c r="AB14" i="1" s="1"/>
  <c r="AE14" i="1"/>
  <c r="AF14" i="1" s="1"/>
  <c r="AI14" i="1"/>
  <c r="AM14" i="1"/>
  <c r="AN14" i="1" s="1"/>
  <c r="AQ14" i="1"/>
  <c r="AS14" i="1" s="1"/>
  <c r="AU14" i="1"/>
  <c r="AW14" i="1" s="1"/>
  <c r="D6" i="1"/>
  <c r="E6" i="1"/>
  <c r="H6" i="1"/>
  <c r="I6" i="1"/>
  <c r="L6" i="1"/>
  <c r="M6" i="1"/>
  <c r="P6" i="1"/>
  <c r="Q6" i="1"/>
  <c r="T6" i="1"/>
  <c r="U6" i="1"/>
  <c r="V6" i="1"/>
  <c r="Y6" i="1"/>
  <c r="AB6" i="1"/>
  <c r="AC6" i="1"/>
  <c r="AF6" i="1"/>
  <c r="AG6" i="1"/>
  <c r="AJ6" i="1"/>
  <c r="AK6" i="1"/>
  <c r="AN6" i="1"/>
  <c r="AO6" i="1"/>
  <c r="AR6" i="1"/>
  <c r="AS6" i="1"/>
  <c r="AV6" i="1"/>
  <c r="AW6" i="1"/>
  <c r="C18" i="1"/>
  <c r="E18" i="1" s="1"/>
  <c r="C29" i="1"/>
  <c r="D29" i="1" s="1"/>
  <c r="C44" i="1"/>
  <c r="C77" i="1"/>
  <c r="E77" i="1" s="1"/>
  <c r="G18" i="1"/>
  <c r="H18" i="1" s="1"/>
  <c r="G29" i="1"/>
  <c r="H29" i="1" s="1"/>
  <c r="G44" i="1"/>
  <c r="I44" i="1" s="1"/>
  <c r="G77" i="1"/>
  <c r="I77" i="1" s="1"/>
  <c r="K18" i="1"/>
  <c r="M18" i="1" s="1"/>
  <c r="K29" i="1"/>
  <c r="K44" i="1"/>
  <c r="M44" i="1" s="1"/>
  <c r="K77" i="1"/>
  <c r="M77" i="1" s="1"/>
  <c r="O18" i="1"/>
  <c r="P18" i="1" s="1"/>
  <c r="O29" i="1"/>
  <c r="Q29" i="1" s="1"/>
  <c r="O44" i="1"/>
  <c r="P44" i="1" s="1"/>
  <c r="O77" i="1"/>
  <c r="S18" i="1"/>
  <c r="U18" i="1" s="1"/>
  <c r="S29" i="1"/>
  <c r="U29" i="1" s="1"/>
  <c r="S44" i="1"/>
  <c r="S77" i="1"/>
  <c r="U77" i="1" s="1"/>
  <c r="W18" i="1"/>
  <c r="W29" i="1"/>
  <c r="W44" i="1"/>
  <c r="Y44" i="1" s="1"/>
  <c r="W77" i="1"/>
  <c r="Y77" i="1" s="1"/>
  <c r="AA18" i="1"/>
  <c r="AC18" i="1" s="1"/>
  <c r="AA29" i="1"/>
  <c r="AC29" i="1" s="1"/>
  <c r="AA44" i="1"/>
  <c r="AB44" i="1" s="1"/>
  <c r="AA77" i="1"/>
  <c r="AC77" i="1" s="1"/>
  <c r="AE18" i="1"/>
  <c r="AF18" i="1" s="1"/>
  <c r="AE29" i="1"/>
  <c r="AG29" i="1" s="1"/>
  <c r="AE44" i="1"/>
  <c r="AG44" i="1" s="1"/>
  <c r="AE77" i="1"/>
  <c r="AG77" i="1" s="1"/>
  <c r="AI18" i="1"/>
  <c r="AK18" i="1" s="1"/>
  <c r="AI29" i="1"/>
  <c r="AI44" i="1"/>
  <c r="AJ44" i="1" s="1"/>
  <c r="AI77" i="1"/>
  <c r="AK77" i="1" s="1"/>
  <c r="AM18" i="1"/>
  <c r="AO18" i="1" s="1"/>
  <c r="AM29" i="1"/>
  <c r="AO29" i="1" s="1"/>
  <c r="AM44" i="1"/>
  <c r="AO44" i="1" s="1"/>
  <c r="AM77" i="1"/>
  <c r="AQ18" i="1"/>
  <c r="AR18" i="1" s="1"/>
  <c r="AQ29" i="1"/>
  <c r="AS29" i="1" s="1"/>
  <c r="AQ44" i="1"/>
  <c r="AS44" i="1" s="1"/>
  <c r="AQ77" i="1"/>
  <c r="AS77" i="1" s="1"/>
  <c r="AU18" i="1"/>
  <c r="AW18" i="1" s="1"/>
  <c r="AU29" i="1"/>
  <c r="AW29" i="1" s="1"/>
  <c r="AU44" i="1"/>
  <c r="AW44" i="1" s="1"/>
  <c r="AU77" i="1"/>
  <c r="AW77" i="1" s="1"/>
  <c r="B7" i="1"/>
  <c r="B8" i="1"/>
  <c r="B13" i="1"/>
  <c r="B14" i="1"/>
  <c r="B24" i="1"/>
  <c r="B25" i="1"/>
  <c r="B26" i="1"/>
  <c r="B27" i="1"/>
  <c r="B49" i="1"/>
  <c r="B53" i="1"/>
  <c r="B54" i="1"/>
  <c r="B58" i="1"/>
  <c r="B60" i="1"/>
  <c r="B77" i="1"/>
  <c r="F7" i="1"/>
  <c r="F8" i="1"/>
  <c r="F13" i="1"/>
  <c r="F14" i="1"/>
  <c r="F24" i="1"/>
  <c r="F25" i="1"/>
  <c r="F26" i="1"/>
  <c r="F27" i="1"/>
  <c r="F49" i="1"/>
  <c r="F53" i="1"/>
  <c r="F54" i="1"/>
  <c r="F55" i="1"/>
  <c r="F64" i="1"/>
  <c r="F77" i="1"/>
  <c r="J7" i="1"/>
  <c r="J8" i="1"/>
  <c r="J13" i="1"/>
  <c r="J21" i="1"/>
  <c r="J29" i="1"/>
  <c r="J30" i="1"/>
  <c r="L30" i="1" s="1"/>
  <c r="J43" i="1"/>
  <c r="L43" i="1" s="1"/>
  <c r="J49" i="1"/>
  <c r="J53" i="1"/>
  <c r="J54" i="1"/>
  <c r="J56" i="1"/>
  <c r="J60" i="1"/>
  <c r="J64" i="1"/>
  <c r="J75" i="1"/>
  <c r="J77" i="1" s="1"/>
  <c r="N7" i="1"/>
  <c r="N8" i="1"/>
  <c r="N13" i="1"/>
  <c r="N14" i="1"/>
  <c r="N24" i="1"/>
  <c r="N25" i="1"/>
  <c r="N26" i="1"/>
  <c r="N27" i="1"/>
  <c r="N34" i="1"/>
  <c r="N39" i="1"/>
  <c r="N49" i="1"/>
  <c r="N50" i="1"/>
  <c r="N53" i="1"/>
  <c r="N54" i="1"/>
  <c r="N55" i="1"/>
  <c r="N56" i="1"/>
  <c r="N58" i="1"/>
  <c r="N60" i="1"/>
  <c r="N77" i="1"/>
  <c r="R7" i="1"/>
  <c r="R8" i="1"/>
  <c r="R13" i="1"/>
  <c r="R14" i="1"/>
  <c r="R24" i="1"/>
  <c r="R25" i="1"/>
  <c r="R26" i="1"/>
  <c r="R27" i="1"/>
  <c r="R33" i="1"/>
  <c r="R34" i="1"/>
  <c r="R36" i="1"/>
  <c r="R44" i="1"/>
  <c r="R46" i="1"/>
  <c r="R49" i="1"/>
  <c r="R51" i="1"/>
  <c r="R52" i="1"/>
  <c r="R53" i="1"/>
  <c r="R54" i="1"/>
  <c r="R64" i="1"/>
  <c r="R77" i="1"/>
  <c r="V7" i="1"/>
  <c r="V8" i="1"/>
  <c r="V14" i="1"/>
  <c r="V16" i="1"/>
  <c r="V18" i="1"/>
  <c r="V19" i="1"/>
  <c r="X19" i="1" s="1"/>
  <c r="V29" i="1"/>
  <c r="V33" i="1"/>
  <c r="V34" i="1"/>
  <c r="V35" i="1"/>
  <c r="V46" i="1"/>
  <c r="V47" i="1"/>
  <c r="V49" i="1"/>
  <c r="V51" i="1"/>
  <c r="V53" i="1"/>
  <c r="V54" i="1"/>
  <c r="V60" i="1"/>
  <c r="V64" i="1"/>
  <c r="V77" i="1"/>
  <c r="Z10" i="1"/>
  <c r="Z11" i="1" s="1"/>
  <c r="Z70" i="1"/>
  <c r="Z77" i="1"/>
  <c r="AD10" i="1"/>
  <c r="AD11" i="1" s="1"/>
  <c r="AD70" i="1"/>
  <c r="AD77" i="1"/>
  <c r="AH10" i="1"/>
  <c r="AH11" i="1" s="1"/>
  <c r="AH70" i="1"/>
  <c r="AH77" i="1"/>
  <c r="AL10" i="1"/>
  <c r="AL11" i="1" s="1"/>
  <c r="AL70" i="1"/>
  <c r="AL77" i="1"/>
  <c r="AP10" i="1"/>
  <c r="AP11" i="1" s="1"/>
  <c r="AP70" i="1"/>
  <c r="AP77" i="1"/>
  <c r="AT10" i="1"/>
  <c r="AT11" i="1" s="1"/>
  <c r="AT70" i="1"/>
  <c r="AT77" i="1"/>
  <c r="AW75" i="1"/>
  <c r="AV75" i="1"/>
  <c r="AS75" i="1"/>
  <c r="AR75" i="1"/>
  <c r="AO75" i="1"/>
  <c r="AN75" i="1"/>
  <c r="AK75" i="1"/>
  <c r="AJ75" i="1"/>
  <c r="AG75" i="1"/>
  <c r="AF75" i="1"/>
  <c r="AC75" i="1"/>
  <c r="AB75" i="1"/>
  <c r="Y75" i="1"/>
  <c r="X75" i="1"/>
  <c r="U75" i="1"/>
  <c r="T75" i="1"/>
  <c r="Q75" i="1"/>
  <c r="P75" i="1"/>
  <c r="M75" i="1"/>
  <c r="I75" i="1"/>
  <c r="H75" i="1"/>
  <c r="E75" i="1"/>
  <c r="D75" i="1"/>
  <c r="AW61" i="1"/>
  <c r="AV61" i="1"/>
  <c r="AS61" i="1"/>
  <c r="AR61" i="1"/>
  <c r="AO61" i="1"/>
  <c r="AN61" i="1"/>
  <c r="AK61" i="1"/>
  <c r="AJ61" i="1"/>
  <c r="AG61" i="1"/>
  <c r="AF61" i="1"/>
  <c r="AC61" i="1"/>
  <c r="AB61" i="1"/>
  <c r="Y61" i="1"/>
  <c r="X61" i="1"/>
  <c r="U61" i="1"/>
  <c r="T61" i="1"/>
  <c r="Q61" i="1"/>
  <c r="P61" i="1"/>
  <c r="M61" i="1"/>
  <c r="L61" i="1"/>
  <c r="I61" i="1"/>
  <c r="H61" i="1"/>
  <c r="E61" i="1"/>
  <c r="D61" i="1"/>
  <c r="AW45" i="1"/>
  <c r="AV45" i="1"/>
  <c r="AS45" i="1"/>
  <c r="AR45" i="1"/>
  <c r="AO45" i="1"/>
  <c r="AN45" i="1"/>
  <c r="AK45" i="1"/>
  <c r="AJ45" i="1"/>
  <c r="AG45" i="1"/>
  <c r="AF45" i="1"/>
  <c r="AC45" i="1"/>
  <c r="AB45" i="1"/>
  <c r="Y45" i="1"/>
  <c r="X45" i="1"/>
  <c r="U45" i="1"/>
  <c r="T45" i="1"/>
  <c r="Q45" i="1"/>
  <c r="P45" i="1"/>
  <c r="M45" i="1"/>
  <c r="L45" i="1"/>
  <c r="I45" i="1"/>
  <c r="H45" i="1"/>
  <c r="E45" i="1"/>
  <c r="D45" i="1"/>
  <c r="AW43" i="1"/>
  <c r="AV43" i="1"/>
  <c r="AS43" i="1"/>
  <c r="AR43" i="1"/>
  <c r="AO43" i="1"/>
  <c r="AN43" i="1"/>
  <c r="AK43" i="1"/>
  <c r="AJ43" i="1"/>
  <c r="AG43" i="1"/>
  <c r="AF43" i="1"/>
  <c r="AC43" i="1"/>
  <c r="AB43" i="1"/>
  <c r="Y43" i="1"/>
  <c r="X43" i="1"/>
  <c r="U43" i="1"/>
  <c r="T43" i="1"/>
  <c r="Q43" i="1"/>
  <c r="P43" i="1"/>
  <c r="M43" i="1"/>
  <c r="I43" i="1"/>
  <c r="H43" i="1"/>
  <c r="E43" i="1"/>
  <c r="D43" i="1"/>
  <c r="AW39" i="1"/>
  <c r="AV39" i="1"/>
  <c r="AS39" i="1"/>
  <c r="AR39" i="1"/>
  <c r="AO39" i="1"/>
  <c r="AN39" i="1"/>
  <c r="AK39" i="1"/>
  <c r="AJ39" i="1"/>
  <c r="AG39" i="1"/>
  <c r="AF39" i="1"/>
  <c r="AC39" i="1"/>
  <c r="AB39" i="1"/>
  <c r="Y39" i="1"/>
  <c r="X39" i="1"/>
  <c r="U39" i="1"/>
  <c r="T39" i="1"/>
  <c r="Q39" i="1"/>
  <c r="M39" i="1"/>
  <c r="L39" i="1"/>
  <c r="I39" i="1"/>
  <c r="H39" i="1"/>
  <c r="E39" i="1"/>
  <c r="D39" i="1"/>
  <c r="AW31" i="1"/>
  <c r="AV31" i="1"/>
  <c r="AS31" i="1"/>
  <c r="AR31" i="1"/>
  <c r="AO31" i="1"/>
  <c r="AN31" i="1"/>
  <c r="AK31" i="1"/>
  <c r="AJ31" i="1"/>
  <c r="AG31" i="1"/>
  <c r="AF31" i="1"/>
  <c r="AC31" i="1"/>
  <c r="AB31" i="1"/>
  <c r="Y31" i="1"/>
  <c r="X31" i="1"/>
  <c r="U31" i="1"/>
  <c r="T31" i="1"/>
  <c r="Q31" i="1"/>
  <c r="P31" i="1"/>
  <c r="M31" i="1"/>
  <c r="L31" i="1"/>
  <c r="I31" i="1"/>
  <c r="H31" i="1"/>
  <c r="E31" i="1"/>
  <c r="D31" i="1"/>
  <c r="AW30" i="1"/>
  <c r="AV30" i="1"/>
  <c r="AS30" i="1"/>
  <c r="AR30" i="1"/>
  <c r="AO30" i="1"/>
  <c r="AN30" i="1"/>
  <c r="AK30" i="1"/>
  <c r="AJ30" i="1"/>
  <c r="AG30" i="1"/>
  <c r="AF30" i="1"/>
  <c r="AC30" i="1"/>
  <c r="AB30" i="1"/>
  <c r="Y30" i="1"/>
  <c r="X30" i="1"/>
  <c r="U30" i="1"/>
  <c r="T30" i="1"/>
  <c r="Q30" i="1"/>
  <c r="P30" i="1"/>
  <c r="M30" i="1"/>
  <c r="I30" i="1"/>
  <c r="H30" i="1"/>
  <c r="E30" i="1"/>
  <c r="D30" i="1"/>
  <c r="AW23" i="1"/>
  <c r="AV23" i="1"/>
  <c r="AS23" i="1"/>
  <c r="AR23" i="1"/>
  <c r="AO23" i="1"/>
  <c r="AN23" i="1"/>
  <c r="AK23" i="1"/>
  <c r="AJ23" i="1"/>
  <c r="AG23" i="1"/>
  <c r="AF23" i="1"/>
  <c r="AC23" i="1"/>
  <c r="AB23" i="1"/>
  <c r="Y23" i="1"/>
  <c r="X23" i="1"/>
  <c r="U23" i="1"/>
  <c r="T23" i="1"/>
  <c r="Q23" i="1"/>
  <c r="P23" i="1"/>
  <c r="M23" i="1"/>
  <c r="L23" i="1"/>
  <c r="I23" i="1"/>
  <c r="H23" i="1"/>
  <c r="E23" i="1"/>
  <c r="D23" i="1"/>
  <c r="AW20" i="1"/>
  <c r="AV20" i="1"/>
  <c r="AS20" i="1"/>
  <c r="AR20" i="1"/>
  <c r="AO20" i="1"/>
  <c r="AN20" i="1"/>
  <c r="AK20" i="1"/>
  <c r="AJ20" i="1"/>
  <c r="AG20" i="1"/>
  <c r="AF20" i="1"/>
  <c r="AC20" i="1"/>
  <c r="AB20" i="1"/>
  <c r="Y20" i="1"/>
  <c r="X20" i="1"/>
  <c r="U20" i="1"/>
  <c r="T20" i="1"/>
  <c r="Q20" i="1"/>
  <c r="P20" i="1"/>
  <c r="M20" i="1"/>
  <c r="L20" i="1"/>
  <c r="I20" i="1"/>
  <c r="H20" i="1"/>
  <c r="E20" i="1"/>
  <c r="D20" i="1"/>
  <c r="AW19" i="1"/>
  <c r="AV19" i="1"/>
  <c r="AS19" i="1"/>
  <c r="AR19" i="1"/>
  <c r="AO19" i="1"/>
  <c r="AN19" i="1"/>
  <c r="AK19" i="1"/>
  <c r="AJ19" i="1"/>
  <c r="AG19" i="1"/>
  <c r="AF19" i="1"/>
  <c r="AC19" i="1"/>
  <c r="AB19" i="1"/>
  <c r="Y19" i="1"/>
  <c r="U19" i="1"/>
  <c r="T19" i="1"/>
  <c r="Q19" i="1"/>
  <c r="P19" i="1"/>
  <c r="M19" i="1"/>
  <c r="L19" i="1"/>
  <c r="I19" i="1"/>
  <c r="H19" i="1"/>
  <c r="E19" i="1"/>
  <c r="D19" i="1"/>
  <c r="AW15" i="1"/>
  <c r="AV15" i="1"/>
  <c r="AS15" i="1"/>
  <c r="AR15" i="1"/>
  <c r="AO15" i="1"/>
  <c r="AN15" i="1"/>
  <c r="AK15" i="1"/>
  <c r="AJ15" i="1"/>
  <c r="AG15" i="1"/>
  <c r="AF15" i="1"/>
  <c r="AC15" i="1"/>
  <c r="AB15" i="1"/>
  <c r="Y15" i="1"/>
  <c r="X15" i="1"/>
  <c r="U15" i="1"/>
  <c r="T15" i="1"/>
  <c r="Q15" i="1"/>
  <c r="P15" i="1"/>
  <c r="M15" i="1"/>
  <c r="L15" i="1"/>
  <c r="I15" i="1"/>
  <c r="H15" i="1"/>
  <c r="E15" i="1"/>
  <c r="D15" i="1"/>
  <c r="BG8" i="1" l="1"/>
  <c r="BH8" i="1" s="1"/>
  <c r="BI8" i="1" s="1"/>
  <c r="AO7" i="1"/>
  <c r="AO14" i="1"/>
  <c r="AB27" i="1"/>
  <c r="I33" i="1"/>
  <c r="X21" i="1"/>
  <c r="H50" i="1"/>
  <c r="AN50" i="1"/>
  <c r="AS18" i="1"/>
  <c r="I18" i="1"/>
  <c r="Q18" i="1"/>
  <c r="AN18" i="1"/>
  <c r="I54" i="1"/>
  <c r="AO13" i="1"/>
  <c r="Y58" i="1"/>
  <c r="I36" i="1"/>
  <c r="H48" i="1"/>
  <c r="D18" i="1"/>
  <c r="AO48" i="1"/>
  <c r="I63" i="1"/>
  <c r="AB13" i="1"/>
  <c r="Y52" i="1"/>
  <c r="AC46" i="1"/>
  <c r="AB18" i="1"/>
  <c r="X50" i="1"/>
  <c r="D8" i="1"/>
  <c r="AJ8" i="1"/>
  <c r="AB16" i="1"/>
  <c r="AR27" i="1"/>
  <c r="AR46" i="1"/>
  <c r="AO52" i="1"/>
  <c r="AR58" i="1"/>
  <c r="AR16" i="1"/>
  <c r="L18" i="1"/>
  <c r="AG18" i="1"/>
  <c r="AV18" i="1"/>
  <c r="AN21" i="1"/>
  <c r="L28" i="1"/>
  <c r="AB34" i="1"/>
  <c r="L47" i="1"/>
  <c r="Y48" i="1"/>
  <c r="I52" i="1"/>
  <c r="AR53" i="1"/>
  <c r="Y56" i="1"/>
  <c r="AR60" i="1"/>
  <c r="H53" i="1"/>
  <c r="D14" i="1"/>
  <c r="AO33" i="1"/>
  <c r="AS36" i="1"/>
  <c r="AS51" i="1"/>
  <c r="AB55" i="1"/>
  <c r="AR13" i="1"/>
  <c r="X13" i="1"/>
  <c r="AJ18" i="1"/>
  <c r="H21" i="1"/>
  <c r="L27" i="1"/>
  <c r="AN28" i="1"/>
  <c r="AC35" i="1"/>
  <c r="AS47" i="1"/>
  <c r="M58" i="1"/>
  <c r="M62" i="1"/>
  <c r="L13" i="1"/>
  <c r="H64" i="1"/>
  <c r="U24" i="1"/>
  <c r="X33" i="1"/>
  <c r="H54" i="1"/>
  <c r="X14" i="1"/>
  <c r="AN29" i="1"/>
  <c r="L75" i="1"/>
  <c r="Y18" i="1"/>
  <c r="P50" i="1"/>
  <c r="Q27" i="1"/>
  <c r="Q14" i="1"/>
  <c r="T44" i="1"/>
  <c r="X29" i="1"/>
  <c r="R70" i="1"/>
  <c r="M25" i="1"/>
  <c r="X18" i="1"/>
  <c r="L24" i="1"/>
  <c r="AB25" i="1"/>
  <c r="AB24" i="1"/>
  <c r="AW64" i="1"/>
  <c r="I14" i="1"/>
  <c r="AR24" i="1"/>
  <c r="AS25" i="1"/>
  <c r="I27" i="1"/>
  <c r="U34" i="1"/>
  <c r="D24" i="1"/>
  <c r="X64" i="1"/>
  <c r="T27" i="1"/>
  <c r="J10" i="1"/>
  <c r="J11" i="1" s="1"/>
  <c r="H14" i="1"/>
  <c r="H26" i="1"/>
  <c r="L7" i="1"/>
  <c r="AJ27" i="1"/>
  <c r="AF29" i="1"/>
  <c r="L35" i="1"/>
  <c r="L46" i="1"/>
  <c r="AR49" i="1"/>
  <c r="AC56" i="1"/>
  <c r="AO63" i="1"/>
  <c r="Y33" i="1"/>
  <c r="U8" i="1"/>
  <c r="D27" i="1"/>
  <c r="S10" i="1"/>
  <c r="S11" i="1" s="1"/>
  <c r="C10" i="1"/>
  <c r="C11" i="1" s="1"/>
  <c r="I13" i="1"/>
  <c r="H16" i="1"/>
  <c r="AN16" i="1"/>
  <c r="E21" i="1"/>
  <c r="AJ26" i="1"/>
  <c r="X36" i="1"/>
  <c r="AK54" i="1"/>
  <c r="Y53" i="1"/>
  <c r="X46" i="1"/>
  <c r="T7" i="1"/>
  <c r="H28" i="1"/>
  <c r="AN34" i="1"/>
  <c r="AO35" i="1"/>
  <c r="AN36" i="1"/>
  <c r="AN47" i="1"/>
  <c r="Q48" i="1"/>
  <c r="AO56" i="1"/>
  <c r="Y62" i="1"/>
  <c r="X35" i="1"/>
  <c r="Q26" i="1"/>
  <c r="H34" i="1"/>
  <c r="H35" i="1"/>
  <c r="I46" i="1"/>
  <c r="H47" i="1"/>
  <c r="AO55" i="1"/>
  <c r="AO60" i="1"/>
  <c r="Y60" i="1"/>
  <c r="X49" i="1"/>
  <c r="X34" i="1"/>
  <c r="D16" i="1"/>
  <c r="AW24" i="1"/>
  <c r="AW63" i="1"/>
  <c r="AT72" i="1"/>
  <c r="T49" i="1"/>
  <c r="T34" i="1"/>
  <c r="D58" i="1"/>
  <c r="Q55" i="1"/>
  <c r="Q49" i="1"/>
  <c r="Q13" i="1"/>
  <c r="E8" i="1"/>
  <c r="AF28" i="1"/>
  <c r="D34" i="1"/>
  <c r="AF13" i="1"/>
  <c r="P14" i="1"/>
  <c r="AF21" i="1"/>
  <c r="AF36" i="1"/>
  <c r="X44" i="1"/>
  <c r="AV49" i="1"/>
  <c r="AW50" i="1"/>
  <c r="AV54" i="1"/>
  <c r="P64" i="1"/>
  <c r="AB7" i="1"/>
  <c r="AV7" i="1"/>
  <c r="AO8" i="1"/>
  <c r="AW13" i="1"/>
  <c r="AG14" i="1"/>
  <c r="M16" i="1"/>
  <c r="AF24" i="1"/>
  <c r="AN26" i="1"/>
  <c r="AG27" i="1"/>
  <c r="AW27" i="1"/>
  <c r="AC28" i="1"/>
  <c r="AS28" i="1"/>
  <c r="AV34" i="1"/>
  <c r="Q36" i="1"/>
  <c r="H44" i="1"/>
  <c r="AR44" i="1"/>
  <c r="AC47" i="1"/>
  <c r="AG48" i="1"/>
  <c r="AC49" i="1"/>
  <c r="AB51" i="1"/>
  <c r="AC53" i="1"/>
  <c r="M55" i="1"/>
  <c r="AC58" i="1"/>
  <c r="AC60" i="1"/>
  <c r="AW62" i="1"/>
  <c r="AG64" i="1"/>
  <c r="T25" i="1"/>
  <c r="P53" i="1"/>
  <c r="P34" i="1"/>
  <c r="P24" i="1"/>
  <c r="P7" i="1"/>
  <c r="L60" i="1"/>
  <c r="M49" i="1"/>
  <c r="H8" i="1"/>
  <c r="T14" i="1"/>
  <c r="D26" i="1"/>
  <c r="H7" i="1"/>
  <c r="AU10" i="1"/>
  <c r="AV10" i="1" s="1"/>
  <c r="Q8" i="1"/>
  <c r="P21" i="1"/>
  <c r="X27" i="1"/>
  <c r="AF63" i="1"/>
  <c r="AR14" i="1"/>
  <c r="AJ25" i="1"/>
  <c r="Q28" i="1"/>
  <c r="AR29" i="1"/>
  <c r="L34" i="1"/>
  <c r="AS34" i="1"/>
  <c r="P35" i="1"/>
  <c r="AR35" i="1"/>
  <c r="L36" i="1"/>
  <c r="AN44" i="1"/>
  <c r="AV46" i="1"/>
  <c r="AG50" i="1"/>
  <c r="P51" i="1"/>
  <c r="AS55" i="1"/>
  <c r="AR56" i="1"/>
  <c r="AB62" i="1"/>
  <c r="Y64" i="1"/>
  <c r="X54" i="1"/>
  <c r="Y54" i="1"/>
  <c r="Y16" i="1"/>
  <c r="X16" i="1"/>
  <c r="AK14" i="1"/>
  <c r="AJ14" i="1"/>
  <c r="E14" i="1"/>
  <c r="AK21" i="1"/>
  <c r="AJ21" i="1"/>
  <c r="T21" i="1"/>
  <c r="U21" i="1"/>
  <c r="AR26" i="1"/>
  <c r="AS26" i="1"/>
  <c r="AB26" i="1"/>
  <c r="AC26" i="1"/>
  <c r="AJ33" i="1"/>
  <c r="AK33" i="1"/>
  <c r="T54" i="1"/>
  <c r="AK52" i="1"/>
  <c r="AJ52" i="1"/>
  <c r="E52" i="1"/>
  <c r="D52" i="1"/>
  <c r="AK48" i="1"/>
  <c r="AJ48" i="1"/>
  <c r="T63" i="1"/>
  <c r="U63" i="1"/>
  <c r="AI10" i="1"/>
  <c r="AI11" i="1" s="1"/>
  <c r="AJ7" i="1"/>
  <c r="AK62" i="1"/>
  <c r="AJ62" i="1"/>
  <c r="T62" i="1"/>
  <c r="U62" i="1"/>
  <c r="D62" i="1"/>
  <c r="E62" i="1"/>
  <c r="AK60" i="1"/>
  <c r="AJ60" i="1"/>
  <c r="AJ58" i="1"/>
  <c r="AK58" i="1"/>
  <c r="U58" i="1"/>
  <c r="T58" i="1"/>
  <c r="E58" i="1"/>
  <c r="E56" i="1"/>
  <c r="D56" i="1"/>
  <c r="AK55" i="1"/>
  <c r="AJ55" i="1"/>
  <c r="U55" i="1"/>
  <c r="T55" i="1"/>
  <c r="D55" i="1"/>
  <c r="E55" i="1"/>
  <c r="E51" i="1"/>
  <c r="D51" i="1"/>
  <c r="AK49" i="1"/>
  <c r="AJ49" i="1"/>
  <c r="U49" i="1"/>
  <c r="E47" i="1"/>
  <c r="D47" i="1"/>
  <c r="AK46" i="1"/>
  <c r="AJ46" i="1"/>
  <c r="E46" i="1"/>
  <c r="D46" i="1"/>
  <c r="D36" i="1"/>
  <c r="E36" i="1"/>
  <c r="AJ35" i="1"/>
  <c r="AK35" i="1"/>
  <c r="U35" i="1"/>
  <c r="T35" i="1"/>
  <c r="D35" i="1"/>
  <c r="E35" i="1"/>
  <c r="AK28" i="1"/>
  <c r="AJ28" i="1"/>
  <c r="U28" i="1"/>
  <c r="T28" i="1"/>
  <c r="D28" i="1"/>
  <c r="E28" i="1"/>
  <c r="AK13" i="1"/>
  <c r="AJ13" i="1"/>
  <c r="AJ50" i="1"/>
  <c r="AK50" i="1"/>
  <c r="U50" i="1"/>
  <c r="T50" i="1"/>
  <c r="E50" i="1"/>
  <c r="D50" i="1"/>
  <c r="X25" i="1"/>
  <c r="Y25" i="1"/>
  <c r="X24" i="1"/>
  <c r="Y24" i="1"/>
  <c r="D33" i="1"/>
  <c r="E48" i="1"/>
  <c r="AK51" i="1"/>
  <c r="T60" i="1"/>
  <c r="T16" i="1"/>
  <c r="AJ16" i="1"/>
  <c r="AN24" i="1"/>
  <c r="L26" i="1"/>
  <c r="AJ34" i="1"/>
  <c r="AJ36" i="1"/>
  <c r="AK47" i="1"/>
  <c r="L49" i="1"/>
  <c r="AK56" i="1"/>
  <c r="Q7" i="1"/>
  <c r="M60" i="1"/>
  <c r="U47" i="1"/>
  <c r="AJ53" i="1"/>
  <c r="U56" i="1"/>
  <c r="AR77" i="1"/>
  <c r="AD72" i="1"/>
  <c r="U53" i="1"/>
  <c r="U33" i="1"/>
  <c r="L77" i="1"/>
  <c r="M56" i="1"/>
  <c r="L56" i="1"/>
  <c r="F10" i="1"/>
  <c r="F11" i="1" s="1"/>
  <c r="E13" i="1"/>
  <c r="AV58" i="1"/>
  <c r="AW58" i="1"/>
  <c r="Q53" i="1"/>
  <c r="AF49" i="1"/>
  <c r="AG49" i="1"/>
  <c r="AG47" i="1"/>
  <c r="AF47" i="1"/>
  <c r="AF46" i="1"/>
  <c r="AG46" i="1"/>
  <c r="P46" i="1"/>
  <c r="Q46" i="1"/>
  <c r="Q34" i="1"/>
  <c r="AV28" i="1"/>
  <c r="AW28" i="1"/>
  <c r="P13" i="1"/>
  <c r="AV14" i="1"/>
  <c r="P16" i="1"/>
  <c r="AF16" i="1"/>
  <c r="AV16" i="1"/>
  <c r="AV21" i="1"/>
  <c r="AJ24" i="1"/>
  <c r="AN27" i="1"/>
  <c r="AG33" i="1"/>
  <c r="AV33" i="1"/>
  <c r="AG35" i="1"/>
  <c r="AW35" i="1"/>
  <c r="AV36" i="1"/>
  <c r="AC44" i="1"/>
  <c r="AV44" i="1"/>
  <c r="P49" i="1"/>
  <c r="AG51" i="1"/>
  <c r="AV51" i="1"/>
  <c r="P52" i="1"/>
  <c r="AF52" i="1"/>
  <c r="AV52" i="1"/>
  <c r="P63" i="1"/>
  <c r="AL72" i="1"/>
  <c r="AB77" i="1"/>
  <c r="H27" i="1"/>
  <c r="E53" i="1"/>
  <c r="D25" i="1"/>
  <c r="AK29" i="1"/>
  <c r="AJ29" i="1"/>
  <c r="M21" i="1"/>
  <c r="Y26" i="1"/>
  <c r="X26" i="1"/>
  <c r="P26" i="1"/>
  <c r="M54" i="1"/>
  <c r="AW25" i="1"/>
  <c r="AV25" i="1"/>
  <c r="AF25" i="1"/>
  <c r="AG25" i="1"/>
  <c r="Q24" i="1"/>
  <c r="X8" i="1"/>
  <c r="I8" i="1"/>
  <c r="D7" i="1"/>
  <c r="AB8" i="1"/>
  <c r="Y14" i="1"/>
  <c r="AB29" i="1"/>
  <c r="AV29" i="1"/>
  <c r="Q33" i="1"/>
  <c r="AF34" i="1"/>
  <c r="AB36" i="1"/>
  <c r="Q44" i="1"/>
  <c r="Q47" i="1"/>
  <c r="AW47" i="1"/>
  <c r="AV48" i="1"/>
  <c r="M51" i="1"/>
  <c r="D53" i="1"/>
  <c r="AG53" i="1"/>
  <c r="AV53" i="1"/>
  <c r="AF54" i="1"/>
  <c r="AR62" i="1"/>
  <c r="AF77" i="1"/>
  <c r="U51" i="1"/>
  <c r="U26" i="1"/>
  <c r="U13" i="1"/>
  <c r="P60" i="1"/>
  <c r="Q54" i="1"/>
  <c r="M53" i="1"/>
  <c r="E24" i="1"/>
  <c r="I53" i="1"/>
  <c r="Y51" i="1"/>
  <c r="I49" i="1"/>
  <c r="P27" i="1"/>
  <c r="I29" i="1"/>
  <c r="L54" i="1"/>
  <c r="AS64" i="1"/>
  <c r="U36" i="1"/>
  <c r="T36" i="1"/>
  <c r="N70" i="1"/>
  <c r="Q25" i="1"/>
  <c r="L64" i="1"/>
  <c r="M29" i="1"/>
  <c r="L29" i="1"/>
  <c r="S70" i="1"/>
  <c r="U70" i="1" s="1"/>
  <c r="P77" i="1"/>
  <c r="Q77" i="1"/>
  <c r="G10" i="1"/>
  <c r="H24" i="1"/>
  <c r="P8" i="1"/>
  <c r="I7" i="1"/>
  <c r="AK7" i="1"/>
  <c r="AV8" i="1"/>
  <c r="AB21" i="1"/>
  <c r="P25" i="1"/>
  <c r="I26" i="1"/>
  <c r="T26" i="1"/>
  <c r="AF26" i="1"/>
  <c r="T29" i="1"/>
  <c r="AB33" i="1"/>
  <c r="P39" i="1"/>
  <c r="T48" i="1"/>
  <c r="AR48" i="1"/>
  <c r="L50" i="1"/>
  <c r="AB50" i="1"/>
  <c r="T51" i="1"/>
  <c r="L52" i="1"/>
  <c r="U54" i="1"/>
  <c r="E63" i="1"/>
  <c r="AJ63" i="1"/>
  <c r="D64" i="1"/>
  <c r="T77" i="1"/>
  <c r="AJ77" i="1"/>
  <c r="H25" i="1"/>
  <c r="E60" i="1"/>
  <c r="D60" i="1"/>
  <c r="E49" i="1"/>
  <c r="D49" i="1"/>
  <c r="Y29" i="1"/>
  <c r="P62" i="1"/>
  <c r="Q62" i="1"/>
  <c r="AF60" i="1"/>
  <c r="AG60" i="1"/>
  <c r="P58" i="1"/>
  <c r="Q58" i="1"/>
  <c r="AF56" i="1"/>
  <c r="AG56" i="1"/>
  <c r="Q56" i="1"/>
  <c r="AV55" i="1"/>
  <c r="AW55" i="1"/>
  <c r="U46" i="1"/>
  <c r="T46" i="1"/>
  <c r="AS21" i="1"/>
  <c r="AR21" i="1"/>
  <c r="AS33" i="1"/>
  <c r="AR33" i="1"/>
  <c r="AC52" i="1"/>
  <c r="AB52" i="1"/>
  <c r="M48" i="1"/>
  <c r="L48" i="1"/>
  <c r="AC64" i="1"/>
  <c r="AB64" i="1"/>
  <c r="AR63" i="1"/>
  <c r="AS63" i="1"/>
  <c r="AC63" i="1"/>
  <c r="AB63" i="1"/>
  <c r="AS50" i="1"/>
  <c r="AR50" i="1"/>
  <c r="T13" i="1"/>
  <c r="AV26" i="1"/>
  <c r="E29" i="1"/>
  <c r="AR52" i="1"/>
  <c r="AB54" i="1"/>
  <c r="AS54" i="1"/>
  <c r="L63" i="1"/>
  <c r="AJ64" i="1"/>
  <c r="D77" i="1"/>
  <c r="AH72" i="1"/>
  <c r="E54" i="1"/>
  <c r="E26" i="1"/>
  <c r="AQ70" i="1"/>
  <c r="AS70" i="1" s="1"/>
  <c r="X77" i="1"/>
  <c r="AM10" i="1"/>
  <c r="AN62" i="1"/>
  <c r="AO62" i="1"/>
  <c r="X60" i="1"/>
  <c r="AN58" i="1"/>
  <c r="AO58" i="1"/>
  <c r="X55" i="1"/>
  <c r="Y55" i="1"/>
  <c r="I55" i="1"/>
  <c r="AN53" i="1"/>
  <c r="AO53" i="1"/>
  <c r="X53" i="1"/>
  <c r="AO51" i="1"/>
  <c r="AN51" i="1"/>
  <c r="H51" i="1"/>
  <c r="I51" i="1"/>
  <c r="AO49" i="1"/>
  <c r="AN49" i="1"/>
  <c r="Y49" i="1"/>
  <c r="Y47" i="1"/>
  <c r="X47" i="1"/>
  <c r="AO46" i="1"/>
  <c r="AN46" i="1"/>
  <c r="Y46" i="1"/>
  <c r="Y34" i="1"/>
  <c r="Y28" i="1"/>
  <c r="X28" i="1"/>
  <c r="Z72" i="1"/>
  <c r="E27" i="1"/>
  <c r="Q50" i="1"/>
  <c r="U25" i="1"/>
  <c r="M8" i="1"/>
  <c r="X51" i="1"/>
  <c r="Y35" i="1"/>
  <c r="V70" i="1"/>
  <c r="Y8" i="1"/>
  <c r="U52" i="1"/>
  <c r="U14" i="1"/>
  <c r="P55" i="1"/>
  <c r="H49" i="1"/>
  <c r="I24" i="1"/>
  <c r="W10" i="1"/>
  <c r="W11" i="1" s="1"/>
  <c r="AQ10" i="1"/>
  <c r="AS7" i="1"/>
  <c r="Q60" i="1"/>
  <c r="T8" i="1"/>
  <c r="AF8" i="1"/>
  <c r="AW8" i="1"/>
  <c r="I25" i="1"/>
  <c r="P29" i="1"/>
  <c r="L44" i="1"/>
  <c r="AF44" i="1"/>
  <c r="D54" i="1"/>
  <c r="P54" i="1"/>
  <c r="R10" i="1"/>
  <c r="U7" i="1"/>
  <c r="B70" i="1"/>
  <c r="AN77" i="1"/>
  <c r="AO77" i="1"/>
  <c r="C70" i="1"/>
  <c r="E70" i="1" s="1"/>
  <c r="E44" i="1"/>
  <c r="AE10" i="1"/>
  <c r="O10" i="1"/>
  <c r="AZ70" i="1"/>
  <c r="AZ71" i="1" s="1"/>
  <c r="E25" i="1"/>
  <c r="X7" i="1"/>
  <c r="AG7" i="1"/>
  <c r="L8" i="1"/>
  <c r="D13" i="1"/>
  <c r="T18" i="1"/>
  <c r="T24" i="1"/>
  <c r="AN25" i="1"/>
  <c r="T33" i="1"/>
  <c r="D44" i="1"/>
  <c r="T53" i="1"/>
  <c r="I64" i="1"/>
  <c r="AP72" i="1"/>
  <c r="U64" i="1"/>
  <c r="T64" i="1"/>
  <c r="X6" i="1"/>
  <c r="V10" i="1"/>
  <c r="AC14" i="1"/>
  <c r="AA70" i="1"/>
  <c r="M64" i="1"/>
  <c r="AA10" i="1"/>
  <c r="AM70" i="1"/>
  <c r="AO70" i="1" s="1"/>
  <c r="W70" i="1"/>
  <c r="Y70" i="1" s="1"/>
  <c r="G70" i="1"/>
  <c r="Y7" i="1"/>
  <c r="AR7" i="1"/>
  <c r="AR8" i="1"/>
  <c r="H13" i="1"/>
  <c r="L14" i="1"/>
  <c r="L21" i="1"/>
  <c r="L33" i="1"/>
  <c r="AB48" i="1"/>
  <c r="T52" i="1"/>
  <c r="L53" i="1"/>
  <c r="I56" i="1"/>
  <c r="I58" i="1"/>
  <c r="I60" i="1"/>
  <c r="I62" i="1"/>
  <c r="J70" i="1"/>
  <c r="E7" i="1"/>
  <c r="B10" i="1"/>
  <c r="AI70" i="1"/>
  <c r="AK44" i="1"/>
  <c r="U44" i="1"/>
  <c r="K70" i="1"/>
  <c r="M70" i="1" s="1"/>
  <c r="U27" i="1"/>
  <c r="K10" i="1"/>
  <c r="M7" i="1"/>
  <c r="BE70" i="1"/>
  <c r="BE71" i="1" s="1"/>
  <c r="AV77" i="1"/>
  <c r="H55" i="1"/>
  <c r="AU70" i="1"/>
  <c r="AE70" i="1"/>
  <c r="O70" i="1"/>
  <c r="Q70" i="1" s="1"/>
  <c r="AX10" i="1"/>
  <c r="AX74" i="1" s="1"/>
  <c r="AX77" i="1" s="1"/>
  <c r="M13" i="1"/>
  <c r="AO54" i="1"/>
  <c r="AG55" i="1"/>
  <c r="AW56" i="1"/>
  <c r="AG58" i="1"/>
  <c r="AW60" i="1"/>
  <c r="AG62" i="1"/>
  <c r="Y63" i="1"/>
  <c r="AO64" i="1"/>
  <c r="P56" i="1"/>
  <c r="N10" i="1"/>
  <c r="H77" i="1"/>
  <c r="F70" i="1"/>
  <c r="AY70" i="1"/>
  <c r="BE72" i="1" l="1"/>
  <c r="L10" i="1"/>
  <c r="U10" i="1"/>
  <c r="AU11" i="1"/>
  <c r="AV11" i="1" s="1"/>
  <c r="AW10" i="1"/>
  <c r="AZ72" i="1"/>
  <c r="AK10" i="1"/>
  <c r="S72" i="1"/>
  <c r="U72" i="1" s="1"/>
  <c r="AJ10" i="1"/>
  <c r="L70" i="1"/>
  <c r="H10" i="1"/>
  <c r="AM11" i="1"/>
  <c r="AM72" i="1" s="1"/>
  <c r="AO10" i="1"/>
  <c r="AN10" i="1"/>
  <c r="AN70" i="1"/>
  <c r="T70" i="1"/>
  <c r="AY72" i="1"/>
  <c r="AR70" i="1"/>
  <c r="G11" i="1"/>
  <c r="G72" i="1" s="1"/>
  <c r="I72" i="1" s="1"/>
  <c r="I10" i="1"/>
  <c r="AF70" i="1"/>
  <c r="AG70" i="1"/>
  <c r="BI70" i="1"/>
  <c r="BI71" i="1" s="1"/>
  <c r="BD70" i="1"/>
  <c r="BD71" i="1" s="1"/>
  <c r="AK11" i="1"/>
  <c r="AI72" i="1"/>
  <c r="AJ11" i="1"/>
  <c r="AE11" i="1"/>
  <c r="AG10" i="1"/>
  <c r="AF10" i="1"/>
  <c r="X70" i="1"/>
  <c r="AX70" i="1"/>
  <c r="AX72" i="1" s="1"/>
  <c r="AX79" i="1" s="1"/>
  <c r="AY10" i="1" s="1"/>
  <c r="AY74" i="1" s="1"/>
  <c r="AY77" i="1" s="1"/>
  <c r="AQ11" i="1"/>
  <c r="AS10" i="1"/>
  <c r="AR10" i="1"/>
  <c r="H70" i="1"/>
  <c r="F72" i="1"/>
  <c r="AV70" i="1"/>
  <c r="AW70" i="1"/>
  <c r="AK70" i="1"/>
  <c r="AJ70" i="1"/>
  <c r="AA11" i="1"/>
  <c r="AC10" i="1"/>
  <c r="AB10" i="1"/>
  <c r="V11" i="1"/>
  <c r="X10" i="1"/>
  <c r="D70" i="1"/>
  <c r="J72" i="1"/>
  <c r="K11" i="1"/>
  <c r="M10" i="1"/>
  <c r="D10" i="1"/>
  <c r="B11" i="1"/>
  <c r="E10" i="1"/>
  <c r="Q10" i="1"/>
  <c r="O11" i="1"/>
  <c r="W72" i="1"/>
  <c r="Y72" i="1" s="1"/>
  <c r="P10" i="1"/>
  <c r="N11" i="1"/>
  <c r="I70" i="1"/>
  <c r="C72" i="1"/>
  <c r="E72" i="1" s="1"/>
  <c r="AC70" i="1"/>
  <c r="AB70" i="1"/>
  <c r="Y10" i="1"/>
  <c r="R11" i="1"/>
  <c r="T10" i="1"/>
  <c r="P70" i="1"/>
  <c r="AU72" i="1" l="1"/>
  <c r="AV72" i="1" s="1"/>
  <c r="BI72" i="1"/>
  <c r="AW11" i="1"/>
  <c r="I11" i="1"/>
  <c r="H11" i="1"/>
  <c r="AN11" i="1"/>
  <c r="AO11" i="1"/>
  <c r="R72" i="1"/>
  <c r="T72" i="1" s="1"/>
  <c r="T11" i="1"/>
  <c r="U11" i="1"/>
  <c r="AE72" i="1"/>
  <c r="AG11" i="1"/>
  <c r="AF11" i="1"/>
  <c r="BD72" i="1"/>
  <c r="O72" i="1"/>
  <c r="Q72" i="1" s="1"/>
  <c r="Q11" i="1"/>
  <c r="AY79" i="1"/>
  <c r="AZ10" i="1" s="1"/>
  <c r="AZ74" i="1" s="1"/>
  <c r="B72" i="1"/>
  <c r="D72" i="1" s="1"/>
  <c r="D11" i="1"/>
  <c r="AO72" i="1"/>
  <c r="AN72" i="1"/>
  <c r="E11" i="1"/>
  <c r="N72" i="1"/>
  <c r="P11" i="1"/>
  <c r="AC11" i="1"/>
  <c r="AB11" i="1"/>
  <c r="AA72" i="1"/>
  <c r="AK72" i="1"/>
  <c r="AJ72" i="1"/>
  <c r="AX11" i="1"/>
  <c r="K72" i="1"/>
  <c r="M72" i="1" s="1"/>
  <c r="M11" i="1"/>
  <c r="L11" i="1"/>
  <c r="V72" i="1"/>
  <c r="X72" i="1" s="1"/>
  <c r="X11" i="1"/>
  <c r="Y11" i="1"/>
  <c r="H72" i="1"/>
  <c r="AQ72" i="1"/>
  <c r="AS11" i="1"/>
  <c r="AR11" i="1"/>
  <c r="AW72" i="1" l="1"/>
  <c r="P72" i="1"/>
  <c r="AC72" i="1"/>
  <c r="AB72" i="1"/>
  <c r="L72" i="1"/>
  <c r="AS72" i="1"/>
  <c r="AR72" i="1"/>
  <c r="AG72" i="1"/>
  <c r="AF72" i="1"/>
  <c r="AZ77" i="1"/>
  <c r="AZ79" i="1"/>
  <c r="BD10" i="1" l="1"/>
  <c r="BD74" i="1" s="1"/>
  <c r="BD79" i="1" s="1"/>
  <c r="BD77" i="1" l="1"/>
  <c r="BE10" i="1"/>
  <c r="BE74" i="1" s="1"/>
  <c r="BE77" i="1" l="1"/>
  <c r="BE79" i="1"/>
  <c r="BF9" i="1" s="1"/>
  <c r="BF10" i="1" l="1"/>
  <c r="BF74" i="1" s="1"/>
  <c r="BF79" i="1" l="1"/>
  <c r="BF77" i="1"/>
  <c r="BG9" i="1" l="1"/>
  <c r="BG10" i="1" s="1"/>
  <c r="BG74" i="1" s="1"/>
  <c r="BG79" i="1" s="1"/>
  <c r="BH9" i="1" s="1"/>
  <c r="BH10" i="1" s="1"/>
  <c r="BH74" i="1" s="1"/>
  <c r="BH79" i="1" s="1"/>
  <c r="BI10" i="1" s="1"/>
  <c r="BI74" i="1" s="1"/>
  <c r="BI77" i="1" s="1"/>
  <c r="BI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Christian Jordan</author>
  </authors>
  <commentList>
    <comment ref="AY7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 xml:space="preserve">BJ: 2017 Assessment Carryover
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Z7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 xml:space="preserve">CJ: increase from $500 to $750 assessment per unit
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A7" authorId="0" shapeId="0" xr:uid="{A4030392-471C-4F60-819E-53BB11647644}">
      <text>
        <r>
          <rPr>
            <b/>
            <sz val="10"/>
            <color indexed="81"/>
            <rFont val="Calibri"/>
            <family val="2"/>
          </rPr>
          <t xml:space="preserve">CJ: increase from $500 to $750 assessment per unit
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B8" authorId="1" shapeId="0" xr:uid="{00000000-0006-0000-0000-000004000000}">
      <text>
        <r>
          <rPr>
            <b/>
            <sz val="9"/>
            <color indexed="81"/>
            <rFont val="Calibri"/>
            <family val="2"/>
          </rPr>
          <t>Christian Jordan:</t>
        </r>
        <r>
          <rPr>
            <sz val="9"/>
            <color indexed="81"/>
            <rFont val="Calibri"/>
            <family val="2"/>
          </rPr>
          <t xml:space="preserve">
Propose a 5% increase 3 years from 2017 then 2% every 3 years with inflation.  By 2023 you will not have the $30k roof cost and should suffice your dues increase over 2017 and 2020 vs your next expenses and your inflation proposal at 1.5%</t>
        </r>
      </text>
    </comment>
    <comment ref="AZ14" authorId="0" shapeId="0" xr:uid="{00000000-0006-0000-0000-000007000000}">
      <text>
        <r>
          <rPr>
            <b/>
            <sz val="10"/>
            <color indexed="81"/>
            <rFont val="Calibri"/>
            <family val="2"/>
          </rPr>
          <t>SJ:  $600 / yr for quickbooks plus salary for Treasurer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A14" authorId="0" shapeId="0" xr:uid="{42A75C9E-1CBC-42F1-BCD2-16EA97E03823}">
      <text>
        <r>
          <rPr>
            <b/>
            <sz val="10"/>
            <color indexed="81"/>
            <rFont val="Calibri"/>
            <family val="2"/>
          </rPr>
          <t>SJ:  $600 / yr for quickbooks plus salary for Treasurer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AZ66" authorId="1" shapeId="0" xr:uid="{00000000-0006-0000-0000-000010000000}">
      <text>
        <r>
          <rPr>
            <b/>
            <sz val="9"/>
            <color indexed="81"/>
            <rFont val="Calibri"/>
            <family val="2"/>
          </rPr>
          <t>Christian Jordan:</t>
        </r>
        <r>
          <rPr>
            <sz val="9"/>
            <color indexed="81"/>
            <rFont val="Calibri"/>
            <family val="2"/>
          </rPr>
          <t xml:space="preserve">
Is this correct? Seems high and why charged to one year?
</t>
        </r>
      </text>
    </comment>
    <comment ref="BA66" authorId="1" shapeId="0" xr:uid="{898FD0E9-6691-4AE9-8B8E-12BBB678D912}">
      <text>
        <r>
          <rPr>
            <b/>
            <sz val="9"/>
            <color indexed="81"/>
            <rFont val="Calibri"/>
            <family val="2"/>
          </rPr>
          <t>Christian Jordan:</t>
        </r>
        <r>
          <rPr>
            <sz val="9"/>
            <color indexed="81"/>
            <rFont val="Calibri"/>
            <family val="2"/>
          </rPr>
          <t xml:space="preserve">
Is this correct? Seems high and why charged to one year?
</t>
        </r>
      </text>
    </comment>
  </commentList>
</comments>
</file>

<file path=xl/sharedStrings.xml><?xml version="1.0" encoding="utf-8"?>
<sst xmlns="http://schemas.openxmlformats.org/spreadsheetml/2006/main" count="146" uniqueCount="101">
  <si>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</si>
  <si>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</si>
  <si>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</si>
  <si>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</si>
  <si>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</si>
  <si>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</si>
  <si>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</si>
  <si>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</si>
  <si>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</si>
  <si>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</si>
  <si>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</si>
  <si>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</si>
  <si>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Actual</t>
  </si>
  <si>
    <t>Budget</t>
  </si>
  <si>
    <t>over Budget</t>
  </si>
  <si>
    <t>% of Budget</t>
  </si>
  <si>
    <t>Income</t>
  </si>
  <si>
    <t xml:space="preserve">   2016 Assessment</t>
  </si>
  <si>
    <t>Total Income</t>
  </si>
  <si>
    <t>Gross Profit</t>
  </si>
  <si>
    <t>Expenses</t>
  </si>
  <si>
    <t xml:space="preserve">   Bank Charges</t>
  </si>
  <si>
    <t xml:space="preserve">   Bookkeeping</t>
  </si>
  <si>
    <t xml:space="preserve">   Building Maintenance</t>
  </si>
  <si>
    <t xml:space="preserve">   Docks</t>
  </si>
  <si>
    <t xml:space="preserve">   Electric</t>
  </si>
  <si>
    <t xml:space="preserve">   Entertainment</t>
  </si>
  <si>
    <t xml:space="preserve">   Insurance</t>
  </si>
  <si>
    <t xml:space="preserve">   IRS /Tax Due</t>
  </si>
  <si>
    <t xml:space="preserve">   Legal &amp; Professional Fees</t>
  </si>
  <si>
    <t xml:space="preserve">   Office Supplies</t>
  </si>
  <si>
    <t xml:space="preserve">   Pool</t>
  </si>
  <si>
    <t xml:space="preserve">   Postage and Delivery</t>
  </si>
  <si>
    <t xml:space="preserve">   Snow Removal</t>
  </si>
  <si>
    <t xml:space="preserve">   Trash Removal</t>
  </si>
  <si>
    <t xml:space="preserve">   Water Softener</t>
  </si>
  <si>
    <t>Total Expenses</t>
  </si>
  <si>
    <t>Snug Harbor Condo Association</t>
  </si>
  <si>
    <t>2019 Budget</t>
  </si>
  <si>
    <t>2020 Budget</t>
  </si>
  <si>
    <t>Net Expenses</t>
  </si>
  <si>
    <t>Assessments</t>
  </si>
  <si>
    <t>Assessment Carry Over</t>
  </si>
  <si>
    <t xml:space="preserve">   Pest Control</t>
  </si>
  <si>
    <t>Rollover</t>
  </si>
  <si>
    <t>2023 Budget</t>
  </si>
  <si>
    <t xml:space="preserve">        Misc Maint / Repairs</t>
  </si>
  <si>
    <t xml:space="preserve">        Gutters / Downspouts</t>
  </si>
  <si>
    <t xml:space="preserve">        Roofs</t>
  </si>
  <si>
    <t xml:space="preserve">   Computer and Internet</t>
  </si>
  <si>
    <t xml:space="preserve">        Dock Fee</t>
  </si>
  <si>
    <t xml:space="preserve">        Repair/Maint</t>
  </si>
  <si>
    <t xml:space="preserve">        DP&amp;L - 1020 UNIT 0</t>
  </si>
  <si>
    <t xml:space="preserve">        DP&amp;L - 1025 E CHM</t>
  </si>
  <si>
    <t xml:space="preserve">        DP&amp;L - DOCK 1025</t>
  </si>
  <si>
    <t xml:space="preserve">        DP&amp;L - ES 1025</t>
  </si>
  <si>
    <t xml:space="preserve">   Landscaping
   and Groundskeeping</t>
  </si>
  <si>
    <t xml:space="preserve">        Fertilizer</t>
  </si>
  <si>
    <t xml:space="preserve">        Mulching</t>
  </si>
  <si>
    <t xml:space="preserve">        Aesthetics (ropes, etc)</t>
  </si>
  <si>
    <t xml:space="preserve">        Shrub Trimming</t>
  </si>
  <si>
    <t xml:space="preserve">        Mowing/Regular Upkeep</t>
  </si>
  <si>
    <t xml:space="preserve">        Chemicals/Supplies</t>
  </si>
  <si>
    <t xml:space="preserve">        Cleaning</t>
  </si>
  <si>
    <t xml:space="preserve">        Club House Maint</t>
  </si>
  <si>
    <t xml:space="preserve">        Gas Heater</t>
  </si>
  <si>
    <t xml:space="preserve">        License</t>
  </si>
  <si>
    <t xml:space="preserve">        Maintenance</t>
  </si>
  <si>
    <t xml:space="preserve">        Opening/Closing</t>
  </si>
  <si>
    <t xml:space="preserve">        Phone</t>
  </si>
  <si>
    <t xml:space="preserve">        Sewer</t>
  </si>
  <si>
    <t xml:space="preserve">        Spider Control</t>
  </si>
  <si>
    <t xml:space="preserve">        Repair</t>
  </si>
  <si>
    <t xml:space="preserve">        Replacements</t>
  </si>
  <si>
    <t xml:space="preserve">        Salt</t>
  </si>
  <si>
    <t xml:space="preserve">   Driveway</t>
  </si>
  <si>
    <t xml:space="preserve">        Sealcoating</t>
  </si>
  <si>
    <t xml:space="preserve">        Repair and Maint</t>
  </si>
  <si>
    <t xml:space="preserve">   Capital Reserves</t>
  </si>
  <si>
    <t xml:space="preserve">        Tree Trimming 
        and Removal</t>
  </si>
  <si>
    <t xml:space="preserve">        Legal</t>
  </si>
  <si>
    <t xml:space="preserve">        Tax Preparation</t>
  </si>
  <si>
    <t xml:space="preserve">        Bats</t>
  </si>
  <si>
    <t xml:space="preserve">        Shrub Replacement</t>
  </si>
  <si>
    <t>2017 Actual</t>
  </si>
  <si>
    <t xml:space="preserve">   Misc Expense / "Purchase"</t>
  </si>
  <si>
    <t xml:space="preserve">   Carryover Balance</t>
  </si>
  <si>
    <t xml:space="preserve">   Assessment</t>
  </si>
  <si>
    <t>Total Income &amp; Carryover</t>
  </si>
  <si>
    <t>2024 Budget</t>
  </si>
  <si>
    <t>2019 Actual</t>
  </si>
  <si>
    <t>2020 Actual</t>
  </si>
  <si>
    <t xml:space="preserve">   QuickBooks Payments Fees</t>
  </si>
  <si>
    <t>2025 Budget</t>
  </si>
  <si>
    <t>2026 Budget</t>
  </si>
  <si>
    <t>2027 Budget</t>
  </si>
  <si>
    <t>2028 Budget</t>
  </si>
  <si>
    <t>Budget Projection FY2024 - FY2028</t>
  </si>
  <si>
    <t>Inflation @ 2.3%</t>
  </si>
  <si>
    <t xml:space="preserve">   Dues 5% increase/yr</t>
  </si>
  <si>
    <t>2023 Actual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</si>
</sst>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  <numFmt numFmtId="165" formatCode="&quot;$&quot;* #,##0.00\ _€"/>
    <numFmt numFmtId="166" formatCode="0.0000"/>
  </numFmts>
  <fonts count="15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0" tint="-0.14996795556505021"/>
      </left>
      <right style="medium">
        <color auto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thin">
        <color auto="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auto="1"/>
      </bottom>
      <diagonal/>
    </border>
    <border>
      <left style="thin">
        <color theme="0" tint="-0.14996795556505021"/>
      </left>
      <right style="medium">
        <color auto="1"/>
      </right>
      <top style="thin">
        <color theme="0" tint="-0.14996795556505021"/>
      </top>
      <bottom style="medium">
        <color auto="1"/>
      </bottom>
      <diagonal/>
    </border>
    <border>
      <left style="medium">
        <color auto="1"/>
      </left>
      <right style="thin">
        <color theme="0" tint="-0.14996795556505021"/>
      </right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0000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/>
      <bottom style="thin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0" fontId="3" fillId="0" borderId="4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40" fontId="3" fillId="0" borderId="4" xfId="0" applyNumberFormat="1" applyFont="1" applyBorder="1" applyAlignment="1">
      <alignment horizontal="right" vertical="center" wrapText="1"/>
    </xf>
    <xf numFmtId="40" fontId="3" fillId="2" borderId="4" xfId="0" applyNumberFormat="1" applyFont="1" applyFill="1" applyBorder="1" applyAlignment="1">
      <alignment horizontal="right" vertical="center" wrapText="1"/>
    </xf>
    <xf numFmtId="40" fontId="14" fillId="2" borderId="4" xfId="0" applyNumberFormat="1" applyFont="1" applyFill="1" applyBorder="1" applyAlignment="1">
      <alignment horizontal="right" vertical="center" wrapText="1"/>
    </xf>
    <xf numFmtId="40" fontId="3" fillId="2" borderId="11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0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vertical="center" wrapText="1"/>
    </xf>
    <xf numFmtId="40" fontId="14" fillId="0" borderId="8" xfId="0" applyNumberFormat="1" applyFont="1" applyBorder="1" applyAlignment="1">
      <alignment horizontal="right" vertical="center" wrapText="1"/>
    </xf>
    <xf numFmtId="40" fontId="14" fillId="2" borderId="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lef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10" fontId="2" fillId="0" borderId="7" xfId="0" applyNumberFormat="1" applyFont="1" applyBorder="1" applyAlignment="1">
      <alignment horizontal="right" vertical="center" wrapText="1"/>
    </xf>
    <xf numFmtId="40" fontId="2" fillId="0" borderId="7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40" fontId="2" fillId="0" borderId="1" xfId="0" applyNumberFormat="1" applyFont="1" applyBorder="1" applyAlignment="1">
      <alignment horizontal="right" vertical="center" wrapText="1"/>
    </xf>
    <xf numFmtId="40" fontId="2" fillId="0" borderId="18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vertical="center" wrapText="1"/>
    </xf>
    <xf numFmtId="40" fontId="3" fillId="0" borderId="3" xfId="0" applyNumberFormat="1" applyFont="1" applyBorder="1" applyAlignment="1">
      <alignment vertical="center" wrapText="1"/>
    </xf>
    <xf numFmtId="40" fontId="3" fillId="0" borderId="10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10" fontId="3" fillId="2" borderId="4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165" fontId="2" fillId="0" borderId="4" xfId="0" applyNumberFormat="1" applyFont="1" applyBorder="1" applyAlignment="1">
      <alignment horizontal="right" vertical="center" wrapText="1"/>
    </xf>
    <xf numFmtId="10" fontId="2" fillId="0" borderId="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 wrapText="1"/>
    </xf>
    <xf numFmtId="40" fontId="3" fillId="0" borderId="4" xfId="1" applyNumberFormat="1" applyFont="1" applyBorder="1" applyAlignment="1">
      <alignment horizontal="right" vertical="center" wrapText="1"/>
    </xf>
    <xf numFmtId="40" fontId="3" fillId="2" borderId="4" xfId="1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vertical="center" wrapText="1"/>
    </xf>
    <xf numFmtId="165" fontId="2" fillId="2" borderId="8" xfId="0" applyNumberFormat="1" applyFont="1" applyFill="1" applyBorder="1" applyAlignment="1">
      <alignment horizontal="right" vertical="center" wrapText="1"/>
    </xf>
    <xf numFmtId="10" fontId="2" fillId="2" borderId="8" xfId="0" applyNumberFormat="1" applyFont="1" applyFill="1" applyBorder="1" applyAlignment="1">
      <alignment horizontal="right" vertical="center" wrapText="1"/>
    </xf>
    <xf numFmtId="40" fontId="3" fillId="2" borderId="8" xfId="1" applyNumberFormat="1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lef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10" fontId="2" fillId="2" borderId="7" xfId="0" applyNumberFormat="1" applyFont="1" applyFill="1" applyBorder="1" applyAlignment="1">
      <alignment horizontal="right" vertical="center" wrapText="1"/>
    </xf>
    <xf numFmtId="40" fontId="2" fillId="2" borderId="7" xfId="0" applyNumberFormat="1" applyFont="1" applyFill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right" vertical="center" wrapText="1"/>
    </xf>
    <xf numFmtId="40" fontId="3" fillId="0" borderId="6" xfId="0" applyNumberFormat="1" applyFont="1" applyBorder="1" applyAlignment="1">
      <alignment horizontal="right" vertical="center" wrapText="1"/>
    </xf>
    <xf numFmtId="40" fontId="3" fillId="0" borderId="23" xfId="0" applyNumberFormat="1" applyFont="1" applyBorder="1" applyAlignment="1">
      <alignment horizontal="right" vertical="center" wrapText="1"/>
    </xf>
    <xf numFmtId="40" fontId="2" fillId="0" borderId="4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0" fontId="2" fillId="0" borderId="5" xfId="0" applyNumberFormat="1" applyFont="1" applyBorder="1" applyAlignment="1">
      <alignment horizontal="right" vertical="center" wrapText="1"/>
    </xf>
    <xf numFmtId="40" fontId="2" fillId="0" borderId="5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vertical="center"/>
    </xf>
    <xf numFmtId="0" fontId="0" fillId="0" borderId="2" xfId="0" applyBorder="1" applyAlignment="1">
      <alignment vertical="center"/>
    </xf>
    <xf numFmtId="40" fontId="2" fillId="0" borderId="2" xfId="0" applyNumberFormat="1" applyFont="1" applyBorder="1" applyAlignment="1">
      <alignment horizontal="right" vertical="center" wrapText="1"/>
    </xf>
    <xf numFmtId="40" fontId="2" fillId="0" borderId="17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vertical="center" wrapText="1"/>
    </xf>
    <xf numFmtId="40" fontId="2" fillId="0" borderId="7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0" fontId="3" fillId="0" borderId="0" xfId="0" applyNumberFormat="1" applyFont="1" applyAlignment="1">
      <alignment horizontal="right" vertical="center" wrapText="1"/>
    </xf>
    <xf numFmtId="40" fontId="2" fillId="0" borderId="0" xfId="0" applyNumberFormat="1" applyFont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2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3" fillId="3" borderId="4" xfId="0" applyNumberFormat="1" applyFont="1" applyFill="1" applyBorder="1" applyAlignment="1">
      <alignment horizontal="right" vertical="center" wrapText="1"/>
    </xf>
    <xf numFmtId="40" fontId="3" fillId="3" borderId="4" xfId="0" applyNumberFormat="1" applyFont="1" applyFill="1" applyBorder="1" applyAlignment="1">
      <alignment horizontal="right" vertical="center" wrapText="1"/>
    </xf>
    <xf numFmtId="40" fontId="3" fillId="3" borderId="8" xfId="0" applyNumberFormat="1" applyFont="1" applyFill="1" applyBorder="1" applyAlignment="1">
      <alignment horizontal="right" vertical="center" wrapText="1"/>
    </xf>
    <xf numFmtId="40" fontId="2" fillId="3" borderId="7" xfId="0" applyNumberFormat="1" applyFont="1" applyFill="1" applyBorder="1" applyAlignment="1">
      <alignment horizontal="right" vertical="center" wrapText="1"/>
    </xf>
    <xf numFmtId="40" fontId="2" fillId="3" borderId="1" xfId="0" applyNumberFormat="1" applyFont="1" applyFill="1" applyBorder="1" applyAlignment="1">
      <alignment horizontal="right" vertical="center" wrapText="1"/>
    </xf>
    <xf numFmtId="40" fontId="3" fillId="3" borderId="3" xfId="0" applyNumberFormat="1" applyFont="1" applyFill="1" applyBorder="1" applyAlignment="1">
      <alignment vertical="center" wrapText="1"/>
    </xf>
    <xf numFmtId="40" fontId="3" fillId="3" borderId="4" xfId="1" applyNumberFormat="1" applyFont="1" applyFill="1" applyBorder="1" applyAlignment="1">
      <alignment horizontal="right" vertical="center" wrapText="1"/>
    </xf>
    <xf numFmtId="40" fontId="3" fillId="3" borderId="8" xfId="1" applyNumberFormat="1" applyFont="1" applyFill="1" applyBorder="1" applyAlignment="1">
      <alignment horizontal="right" vertical="center" wrapText="1"/>
    </xf>
    <xf numFmtId="40" fontId="2" fillId="3" borderId="6" xfId="0" applyNumberFormat="1" applyFont="1" applyFill="1" applyBorder="1" applyAlignment="1">
      <alignment horizontal="right" vertical="center" wrapText="1"/>
    </xf>
    <xf numFmtId="40" fontId="2" fillId="3" borderId="4" xfId="0" applyNumberFormat="1" applyFont="1" applyFill="1" applyBorder="1" applyAlignment="1">
      <alignment horizontal="right" vertical="center" wrapText="1"/>
    </xf>
    <xf numFmtId="40" fontId="2" fillId="3" borderId="5" xfId="0" applyNumberFormat="1" applyFont="1" applyFill="1" applyBorder="1" applyAlignment="1">
      <alignment horizontal="right" vertical="center" wrapText="1"/>
    </xf>
    <xf numFmtId="40" fontId="0" fillId="3" borderId="2" xfId="0" applyNumberFormat="1" applyFill="1" applyBorder="1" applyAlignment="1">
      <alignment vertical="center"/>
    </xf>
    <xf numFmtId="40" fontId="2" fillId="3" borderId="7" xfId="0" applyNumberFormat="1" applyFont="1" applyFill="1" applyBorder="1" applyAlignment="1">
      <alignment vertical="center" wrapText="1"/>
    </xf>
    <xf numFmtId="40" fontId="8" fillId="3" borderId="0" xfId="1" applyNumberFormat="1" applyFont="1" applyFill="1" applyBorder="1" applyAlignment="1">
      <alignment horizontal="right" vertical="center" wrapText="1"/>
    </xf>
    <xf numFmtId="40" fontId="2" fillId="3" borderId="0" xfId="0" applyNumberFormat="1" applyFont="1" applyFill="1" applyAlignment="1">
      <alignment horizontal="right" vertical="center" wrapText="1"/>
    </xf>
    <xf numFmtId="40" fontId="3" fillId="3" borderId="27" xfId="0" applyNumberFormat="1" applyFont="1" applyFill="1" applyBorder="1" applyAlignment="1">
      <alignment vertical="center"/>
    </xf>
    <xf numFmtId="40" fontId="14" fillId="0" borderId="27" xfId="0" applyNumberFormat="1" applyFont="1" applyBorder="1" applyAlignment="1">
      <alignment vertical="center"/>
    </xf>
    <xf numFmtId="40" fontId="3" fillId="0" borderId="31" xfId="0" applyNumberFormat="1" applyFont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left" vertical="center" wrapText="1"/>
    </xf>
    <xf numFmtId="40" fontId="3" fillId="0" borderId="8" xfId="0" applyNumberFormat="1" applyFont="1" applyBorder="1" applyAlignment="1">
      <alignment horizontal="right" vertical="center" wrapText="1"/>
    </xf>
    <xf numFmtId="40" fontId="3" fillId="0" borderId="34" xfId="0" applyNumberFormat="1" applyFont="1" applyBorder="1" applyAlignment="1">
      <alignment horizontal="right" vertical="center" wrapText="1"/>
    </xf>
    <xf numFmtId="40" fontId="14" fillId="0" borderId="34" xfId="0" applyNumberFormat="1" applyFont="1" applyBorder="1" applyAlignment="1">
      <alignment horizontal="right" vertical="center" wrapText="1"/>
    </xf>
    <xf numFmtId="40" fontId="3" fillId="0" borderId="34" xfId="1" applyNumberFormat="1" applyFont="1" applyFill="1" applyBorder="1" applyAlignment="1">
      <alignment horizontal="right" vertical="center" wrapText="1"/>
    </xf>
    <xf numFmtId="40" fontId="3" fillId="0" borderId="8" xfId="1" applyNumberFormat="1" applyFont="1" applyFill="1" applyBorder="1" applyAlignment="1">
      <alignment horizontal="right" vertical="center" wrapText="1"/>
    </xf>
    <xf numFmtId="40" fontId="0" fillId="0" borderId="2" xfId="0" applyNumberFormat="1" applyBorder="1" applyAlignment="1">
      <alignment vertical="center"/>
    </xf>
    <xf numFmtId="164" fontId="3" fillId="0" borderId="10" xfId="0" applyNumberFormat="1" applyFont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vertical="center" wrapText="1"/>
    </xf>
    <xf numFmtId="164" fontId="3" fillId="0" borderId="31" xfId="0" applyNumberFormat="1" applyFont="1" applyBorder="1" applyAlignment="1">
      <alignment horizontal="right" vertical="center" wrapText="1"/>
    </xf>
    <xf numFmtId="40" fontId="14" fillId="2" borderId="31" xfId="0" applyNumberFormat="1" applyFont="1" applyFill="1" applyBorder="1" applyAlignment="1">
      <alignment horizontal="right" vertical="center" wrapText="1"/>
    </xf>
    <xf numFmtId="40" fontId="3" fillId="0" borderId="39" xfId="0" applyNumberFormat="1" applyFont="1" applyBorder="1" applyAlignment="1">
      <alignment vertical="center" wrapText="1"/>
    </xf>
    <xf numFmtId="40" fontId="3" fillId="0" borderId="41" xfId="0" applyNumberFormat="1" applyFont="1" applyBorder="1" applyAlignment="1">
      <alignment horizontal="right" vertical="center" wrapText="1"/>
    </xf>
    <xf numFmtId="0" fontId="0" fillId="0" borderId="0" xfId="0" quotePrefix="1" applyAlignment="1">
      <alignment vertical="center"/>
    </xf>
    <xf numFmtId="38" fontId="14" fillId="2" borderId="8" xfId="0" applyNumberFormat="1" applyFont="1" applyFill="1" applyBorder="1" applyAlignment="1">
      <alignment horizontal="right" vertical="center" wrapText="1"/>
    </xf>
    <xf numFmtId="38" fontId="14" fillId="2" borderId="40" xfId="0" applyNumberFormat="1" applyFont="1" applyFill="1" applyBorder="1" applyAlignment="1">
      <alignment horizontal="right" vertical="center" wrapText="1"/>
    </xf>
    <xf numFmtId="38" fontId="14" fillId="2" borderId="42" xfId="0" applyNumberFormat="1" applyFont="1" applyFill="1" applyBorder="1" applyAlignment="1">
      <alignment horizontal="right" vertical="center" wrapText="1"/>
    </xf>
    <xf numFmtId="38" fontId="3" fillId="0" borderId="31" xfId="0" applyNumberFormat="1" applyFont="1" applyBorder="1" applyAlignment="1">
      <alignment horizontal="right" vertical="center" wrapText="1"/>
    </xf>
    <xf numFmtId="38" fontId="2" fillId="0" borderId="7" xfId="0" applyNumberFormat="1" applyFont="1" applyBorder="1" applyAlignment="1">
      <alignment horizontal="right" vertical="center" wrapText="1"/>
    </xf>
    <xf numFmtId="38" fontId="2" fillId="0" borderId="20" xfId="0" applyNumberFormat="1" applyFont="1" applyBorder="1" applyAlignment="1">
      <alignment horizontal="right" vertical="center" wrapText="1"/>
    </xf>
    <xf numFmtId="38" fontId="2" fillId="0" borderId="4" xfId="0" applyNumberFormat="1" applyFont="1" applyBorder="1" applyAlignment="1">
      <alignment horizontal="right" vertical="center" wrapText="1"/>
    </xf>
    <xf numFmtId="38" fontId="2" fillId="0" borderId="11" xfId="0" applyNumberFormat="1" applyFont="1" applyBorder="1" applyAlignment="1">
      <alignment horizontal="right" vertical="center" wrapText="1"/>
    </xf>
    <xf numFmtId="38" fontId="2" fillId="0" borderId="5" xfId="0" applyNumberFormat="1" applyFont="1" applyBorder="1" applyAlignment="1">
      <alignment horizontal="right" vertical="center" wrapText="1"/>
    </xf>
    <xf numFmtId="2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38" fontId="3" fillId="0" borderId="4" xfId="0" applyNumberFormat="1" applyFont="1" applyBorder="1" applyAlignment="1">
      <alignment horizontal="right" vertical="center" wrapText="1"/>
    </xf>
    <xf numFmtId="38" fontId="14" fillId="0" borderId="15" xfId="0" applyNumberFormat="1" applyFont="1" applyBorder="1" applyAlignment="1">
      <alignment horizontal="right" vertical="center" wrapText="1"/>
    </xf>
    <xf numFmtId="40" fontId="3" fillId="0" borderId="11" xfId="0" applyNumberFormat="1" applyFont="1" applyBorder="1" applyAlignment="1">
      <alignment horizontal="right" vertical="center" wrapText="1"/>
    </xf>
    <xf numFmtId="38" fontId="3" fillId="0" borderId="11" xfId="0" applyNumberFormat="1" applyFont="1" applyBorder="1" applyAlignment="1">
      <alignment horizontal="right" vertical="center" wrapText="1"/>
    </xf>
    <xf numFmtId="40" fontId="3" fillId="0" borderId="33" xfId="0" applyNumberFormat="1" applyFont="1" applyBorder="1" applyAlignment="1">
      <alignment horizontal="right" vertical="center" wrapText="1"/>
    </xf>
    <xf numFmtId="38" fontId="3" fillId="0" borderId="33" xfId="1" applyNumberFormat="1" applyFont="1" applyFill="1" applyBorder="1" applyAlignment="1">
      <alignment horizontal="right" vertical="center" wrapText="1"/>
    </xf>
    <xf numFmtId="40" fontId="3" fillId="0" borderId="32" xfId="0" applyNumberFormat="1" applyFont="1" applyBorder="1" applyAlignment="1">
      <alignment horizontal="right" vertical="center" wrapText="1"/>
    </xf>
    <xf numFmtId="38" fontId="3" fillId="0" borderId="0" xfId="1" applyNumberFormat="1" applyFont="1" applyFill="1" applyBorder="1" applyAlignment="1">
      <alignment horizontal="right" vertical="center" wrapText="1"/>
    </xf>
    <xf numFmtId="38" fontId="3" fillId="0" borderId="8" xfId="1" applyNumberFormat="1" applyFont="1" applyFill="1" applyBorder="1" applyAlignment="1">
      <alignment horizontal="right" vertical="center" wrapText="1"/>
    </xf>
    <xf numFmtId="38" fontId="3" fillId="0" borderId="24" xfId="1" applyNumberFormat="1" applyFont="1" applyFill="1" applyBorder="1" applyAlignment="1">
      <alignment horizontal="right" vertical="center" wrapText="1"/>
    </xf>
    <xf numFmtId="38" fontId="3" fillId="0" borderId="43" xfId="0" applyNumberFormat="1" applyFont="1" applyBorder="1" applyAlignment="1">
      <alignment horizontal="right" vertical="center" wrapText="1"/>
    </xf>
    <xf numFmtId="10" fontId="3" fillId="0" borderId="3" xfId="6" applyNumberFormat="1" applyFont="1" applyBorder="1" applyAlignment="1">
      <alignment vertical="center" wrapText="1"/>
    </xf>
    <xf numFmtId="10" fontId="0" fillId="0" borderId="0" xfId="0" applyNumberFormat="1" applyAlignment="1">
      <alignment vertical="center"/>
    </xf>
    <xf numFmtId="0" fontId="0" fillId="0" borderId="29" xfId="0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38" fontId="2" fillId="0" borderId="7" xfId="0" applyNumberFormat="1" applyFont="1" applyBorder="1" applyAlignment="1">
      <alignment vertical="center" wrapText="1"/>
    </xf>
    <xf numFmtId="38" fontId="2" fillId="0" borderId="20" xfId="0" applyNumberFormat="1" applyFont="1" applyBorder="1" applyAlignment="1">
      <alignment vertical="center" wrapText="1"/>
    </xf>
    <xf numFmtId="38" fontId="3" fillId="0" borderId="0" xfId="0" applyNumberFormat="1" applyFont="1" applyAlignment="1">
      <alignment horizontal="right" vertical="center" wrapText="1"/>
    </xf>
    <xf numFmtId="38" fontId="3" fillId="0" borderId="21" xfId="0" applyNumberFormat="1" applyFont="1" applyBorder="1" applyAlignment="1">
      <alignment horizontal="right" vertical="center" wrapText="1"/>
    </xf>
    <xf numFmtId="38" fontId="2" fillId="0" borderId="0" xfId="0" applyNumberFormat="1" applyFont="1" applyAlignment="1">
      <alignment horizontal="right" vertical="center" wrapText="1"/>
    </xf>
    <xf numFmtId="38" fontId="2" fillId="0" borderId="2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2" fillId="0" borderId="18" xfId="0" applyNumberFormat="1" applyFont="1" applyBorder="1" applyAlignment="1">
      <alignment horizontal="right" vertical="center" wrapText="1"/>
    </xf>
    <xf numFmtId="38" fontId="3" fillId="0" borderId="3" xfId="0" applyNumberFormat="1" applyFont="1" applyBorder="1" applyAlignment="1">
      <alignment vertical="center" wrapText="1"/>
    </xf>
    <xf numFmtId="38" fontId="3" fillId="0" borderId="39" xfId="0" applyNumberFormat="1" applyFont="1" applyBorder="1" applyAlignment="1">
      <alignment vertical="center" wrapText="1"/>
    </xf>
    <xf numFmtId="38" fontId="3" fillId="0" borderId="10" xfId="0" applyNumberFormat="1" applyFont="1" applyBorder="1" applyAlignment="1">
      <alignment vertical="center" wrapText="1"/>
    </xf>
    <xf numFmtId="38" fontId="14" fillId="0" borderId="27" xfId="0" applyNumberFormat="1" applyFont="1" applyBorder="1" applyAlignment="1">
      <alignment vertical="center"/>
    </xf>
    <xf numFmtId="38" fontId="14" fillId="0" borderId="28" xfId="0" applyNumberFormat="1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7">
    <cellStyle name="Comma" xfId="1" builtinId="3"/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6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50"/>
  <sheetViews>
    <sheetView tabSelected="1" zoomScale="110" zoomScaleNormal="110" zoomScalePageLayoutView="165" workbookViewId="0">
      <pane xSplit="54" ySplit="6" topLeftCell="BC7" activePane="bottomRight" state="frozen"/>
      <selection pane="topRight" activeCell="BC1" sqref="BC1"/>
      <selection pane="bottomLeft" activeCell="A7" sqref="A7"/>
      <selection pane="bottomRight" activeCell="BD30" sqref="BD30"/>
    </sheetView>
  </sheetViews>
  <sheetFormatPr defaultColWidth="8.85546875" defaultRowHeight="15" x14ac:dyDescent="0.25"/>
  <cols>
    <col min="1" max="1" width="26.7109375" style="1" customWidth="1"/>
    <col min="2" max="3" width="9.42578125" style="1" hidden="1" customWidth="1"/>
    <col min="4" max="4" width="10.28515625" style="1" hidden="1" customWidth="1"/>
    <col min="5" max="7" width="9.42578125" style="1" hidden="1" customWidth="1"/>
    <col min="8" max="8" width="10.28515625" style="1" hidden="1" customWidth="1"/>
    <col min="9" max="9" width="7.7109375" style="1" hidden="1" customWidth="1"/>
    <col min="10" max="11" width="9.42578125" style="1" hidden="1" customWidth="1"/>
    <col min="12" max="12" width="10.28515625" style="1" hidden="1" customWidth="1"/>
    <col min="13" max="15" width="9.42578125" style="1" hidden="1" customWidth="1"/>
    <col min="16" max="16" width="10.28515625" style="1" hidden="1" customWidth="1"/>
    <col min="17" max="19" width="9.42578125" style="1" hidden="1" customWidth="1"/>
    <col min="20" max="20" width="10.28515625" style="1" hidden="1" customWidth="1"/>
    <col min="21" max="21" width="7.7109375" style="1" hidden="1" customWidth="1"/>
    <col min="22" max="22" width="11.140625" style="1" hidden="1" customWidth="1"/>
    <col min="23" max="23" width="9.42578125" style="1" hidden="1" customWidth="1"/>
    <col min="24" max="24" width="11.140625" style="1" hidden="1" customWidth="1"/>
    <col min="25" max="25" width="9.42578125" style="1" hidden="1" customWidth="1"/>
    <col min="26" max="26" width="7.7109375" style="1" hidden="1" customWidth="1"/>
    <col min="27" max="27" width="9.42578125" style="1" hidden="1" customWidth="1"/>
    <col min="28" max="28" width="11.140625" style="1" hidden="1" customWidth="1"/>
    <col min="29" max="30" width="7.7109375" style="1" hidden="1" customWidth="1"/>
    <col min="31" max="31" width="9.42578125" style="1" hidden="1" customWidth="1"/>
    <col min="32" max="32" width="11.140625" style="1" hidden="1" customWidth="1"/>
    <col min="33" max="34" width="7.7109375" style="1" hidden="1" customWidth="1"/>
    <col min="35" max="35" width="9.42578125" style="1" hidden="1" customWidth="1"/>
    <col min="36" max="36" width="11.140625" style="1" hidden="1" customWidth="1"/>
    <col min="37" max="38" width="7.7109375" style="1" hidden="1" customWidth="1"/>
    <col min="39" max="39" width="9.42578125" style="1" hidden="1" customWidth="1"/>
    <col min="40" max="40" width="11.140625" style="1" hidden="1" customWidth="1"/>
    <col min="41" max="42" width="7.7109375" style="1" hidden="1" customWidth="1"/>
    <col min="43" max="43" width="9.42578125" style="1" hidden="1" customWidth="1"/>
    <col min="44" max="44" width="11.140625" style="1" hidden="1" customWidth="1"/>
    <col min="45" max="46" width="7.7109375" style="1" hidden="1" customWidth="1"/>
    <col min="47" max="47" width="9.42578125" style="1" hidden="1" customWidth="1"/>
    <col min="48" max="48" width="11.140625" style="1" hidden="1" customWidth="1"/>
    <col min="49" max="49" width="7.7109375" style="1" hidden="1" customWidth="1"/>
    <col min="50" max="50" width="12.7109375" style="1" hidden="1" customWidth="1"/>
    <col min="51" max="54" width="13.85546875" style="1" hidden="1" customWidth="1"/>
    <col min="55" max="60" width="13.85546875" style="1" customWidth="1"/>
    <col min="61" max="61" width="15.28515625" style="1" customWidth="1"/>
    <col min="62" max="62" width="2.28515625" style="1" customWidth="1"/>
    <col min="63" max="63" width="17.42578125" style="1" customWidth="1"/>
    <col min="64" max="66" width="8.85546875" style="1"/>
    <col min="67" max="67" width="12" style="1" customWidth="1"/>
    <col min="68" max="16384" width="8.85546875" style="1"/>
  </cols>
  <sheetData>
    <row r="1" spans="1:67" ht="18" customHeight="1" x14ac:dyDescent="0.25">
      <c r="A1" s="156" t="s">
        <v>37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</row>
    <row r="2" spans="1:67" ht="18" customHeight="1" x14ac:dyDescent="0.25">
      <c r="A2" s="156" t="s">
        <v>97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</row>
    <row r="3" spans="1:67" ht="11.45" customHeight="1" thickBot="1" x14ac:dyDescent="0.3">
      <c r="A3" s="2"/>
      <c r="B3" s="154" t="s">
        <v>0</v>
      </c>
      <c r="C3" s="155"/>
      <c r="D3" s="155"/>
      <c r="E3" s="155"/>
      <c r="F3" s="154" t="s">
        <v>1</v>
      </c>
      <c r="G3" s="155"/>
      <c r="H3" s="155"/>
      <c r="I3" s="155"/>
      <c r="J3" s="154" t="s">
        <v>2</v>
      </c>
      <c r="K3" s="155"/>
      <c r="L3" s="155"/>
      <c r="M3" s="155"/>
      <c r="N3" s="154" t="s">
        <v>3</v>
      </c>
      <c r="O3" s="155"/>
      <c r="P3" s="155"/>
      <c r="Q3" s="155"/>
      <c r="R3" s="154" t="s">
        <v>4</v>
      </c>
      <c r="S3" s="155"/>
      <c r="T3" s="155"/>
      <c r="U3" s="155"/>
      <c r="V3" s="154" t="s">
        <v>5</v>
      </c>
      <c r="W3" s="155"/>
      <c r="X3" s="155"/>
      <c r="Y3" s="155"/>
      <c r="Z3" s="154" t="s">
        <v>6</v>
      </c>
      <c r="AA3" s="155"/>
      <c r="AB3" s="155"/>
      <c r="AC3" s="155"/>
      <c r="AD3" s="154" t="s">
        <v>7</v>
      </c>
      <c r="AE3" s="155"/>
      <c r="AF3" s="155"/>
      <c r="AG3" s="155"/>
      <c r="AH3" s="154" t="s">
        <v>8</v>
      </c>
      <c r="AI3" s="155"/>
      <c r="AJ3" s="155"/>
      <c r="AK3" s="155"/>
      <c r="AL3" s="154" t="s">
        <v>9</v>
      </c>
      <c r="AM3" s="155"/>
      <c r="AN3" s="155"/>
      <c r="AO3" s="155"/>
      <c r="AP3" s="154" t="s">
        <v>10</v>
      </c>
      <c r="AQ3" s="155"/>
      <c r="AR3" s="155"/>
      <c r="AS3" s="155"/>
      <c r="AT3" s="154" t="s">
        <v>11</v>
      </c>
      <c r="AU3" s="155"/>
      <c r="AV3" s="155"/>
      <c r="AW3" s="155"/>
      <c r="AX3" s="154"/>
      <c r="AY3" s="155"/>
      <c r="AZ3" s="155"/>
      <c r="BA3" s="155"/>
      <c r="BB3" s="155"/>
    </row>
    <row r="4" spans="1:67" ht="24.75" thickBot="1" x14ac:dyDescent="0.3">
      <c r="A4" s="136"/>
      <c r="B4" s="137" t="s">
        <v>12</v>
      </c>
      <c r="C4" s="137" t="s">
        <v>13</v>
      </c>
      <c r="D4" s="137" t="s">
        <v>14</v>
      </c>
      <c r="E4" s="137" t="s">
        <v>15</v>
      </c>
      <c r="F4" s="137" t="s">
        <v>12</v>
      </c>
      <c r="G4" s="137" t="s">
        <v>13</v>
      </c>
      <c r="H4" s="137" t="s">
        <v>14</v>
      </c>
      <c r="I4" s="137" t="s">
        <v>15</v>
      </c>
      <c r="J4" s="137" t="s">
        <v>12</v>
      </c>
      <c r="K4" s="137" t="s">
        <v>13</v>
      </c>
      <c r="L4" s="137" t="s">
        <v>14</v>
      </c>
      <c r="M4" s="137" t="s">
        <v>15</v>
      </c>
      <c r="N4" s="137" t="s">
        <v>12</v>
      </c>
      <c r="O4" s="137" t="s">
        <v>13</v>
      </c>
      <c r="P4" s="137" t="s">
        <v>14</v>
      </c>
      <c r="Q4" s="137" t="s">
        <v>15</v>
      </c>
      <c r="R4" s="137" t="s">
        <v>12</v>
      </c>
      <c r="S4" s="137" t="s">
        <v>13</v>
      </c>
      <c r="T4" s="137" t="s">
        <v>14</v>
      </c>
      <c r="U4" s="137" t="s">
        <v>15</v>
      </c>
      <c r="V4" s="137" t="s">
        <v>12</v>
      </c>
      <c r="W4" s="137" t="s">
        <v>13</v>
      </c>
      <c r="X4" s="137" t="s">
        <v>14</v>
      </c>
      <c r="Y4" s="137" t="s">
        <v>15</v>
      </c>
      <c r="Z4" s="137" t="s">
        <v>12</v>
      </c>
      <c r="AA4" s="137" t="s">
        <v>13</v>
      </c>
      <c r="AB4" s="137" t="s">
        <v>14</v>
      </c>
      <c r="AC4" s="137" t="s">
        <v>15</v>
      </c>
      <c r="AD4" s="137" t="s">
        <v>12</v>
      </c>
      <c r="AE4" s="137" t="s">
        <v>13</v>
      </c>
      <c r="AF4" s="137" t="s">
        <v>14</v>
      </c>
      <c r="AG4" s="137" t="s">
        <v>15</v>
      </c>
      <c r="AH4" s="137" t="s">
        <v>12</v>
      </c>
      <c r="AI4" s="137" t="s">
        <v>13</v>
      </c>
      <c r="AJ4" s="137" t="s">
        <v>14</v>
      </c>
      <c r="AK4" s="137" t="s">
        <v>15</v>
      </c>
      <c r="AL4" s="137" t="s">
        <v>12</v>
      </c>
      <c r="AM4" s="137" t="s">
        <v>13</v>
      </c>
      <c r="AN4" s="137" t="s">
        <v>14</v>
      </c>
      <c r="AO4" s="137" t="s">
        <v>15</v>
      </c>
      <c r="AP4" s="137" t="s">
        <v>12</v>
      </c>
      <c r="AQ4" s="137" t="s">
        <v>13</v>
      </c>
      <c r="AR4" s="137" t="s">
        <v>14</v>
      </c>
      <c r="AS4" s="137" t="s">
        <v>15</v>
      </c>
      <c r="AT4" s="137" t="s">
        <v>12</v>
      </c>
      <c r="AU4" s="137" t="s">
        <v>13</v>
      </c>
      <c r="AV4" s="137" t="s">
        <v>14</v>
      </c>
      <c r="AW4" s="137" t="s">
        <v>15</v>
      </c>
      <c r="AX4" s="137" t="s">
        <v>84</v>
      </c>
      <c r="AY4" s="137" t="s">
        <v>90</v>
      </c>
      <c r="AZ4" s="137" t="s">
        <v>38</v>
      </c>
      <c r="BA4" s="137" t="s">
        <v>91</v>
      </c>
      <c r="BB4" s="138" t="s">
        <v>39</v>
      </c>
      <c r="BC4" s="103" t="s">
        <v>100</v>
      </c>
      <c r="BD4" s="103" t="s">
        <v>45</v>
      </c>
      <c r="BE4" s="103" t="s">
        <v>89</v>
      </c>
      <c r="BF4" s="103" t="s">
        <v>93</v>
      </c>
      <c r="BG4" s="105" t="s">
        <v>94</v>
      </c>
      <c r="BH4" s="105" t="s">
        <v>95</v>
      </c>
      <c r="BI4" s="104" t="s">
        <v>96</v>
      </c>
    </row>
    <row r="5" spans="1:67" x14ac:dyDescent="0.25">
      <c r="A5" s="27" t="s">
        <v>16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102"/>
      <c r="AY5" s="28"/>
      <c r="AZ5" s="28"/>
      <c r="BA5" s="28"/>
      <c r="BB5" s="28"/>
      <c r="BC5" s="28"/>
      <c r="BD5" s="28"/>
      <c r="BE5" s="134"/>
      <c r="BF5" s="28"/>
      <c r="BG5" s="106"/>
      <c r="BH5" s="106"/>
      <c r="BI5" s="101"/>
    </row>
    <row r="6" spans="1:67" hidden="1" x14ac:dyDescent="0.25">
      <c r="A6" s="3" t="s">
        <v>17</v>
      </c>
      <c r="B6" s="4"/>
      <c r="C6" s="4"/>
      <c r="D6" s="5">
        <f>(B6)-(C6)</f>
        <v>0</v>
      </c>
      <c r="E6" s="6" t="str">
        <f>IF(C6=0,"",(B6)/(C6))</f>
        <v/>
      </c>
      <c r="F6" s="4"/>
      <c r="G6" s="4"/>
      <c r="H6" s="5">
        <f>(F6)-(G6)</f>
        <v>0</v>
      </c>
      <c r="I6" s="6" t="str">
        <f>IF(G6=0,"",(F6)/(G6))</f>
        <v/>
      </c>
      <c r="J6" s="4"/>
      <c r="K6" s="4"/>
      <c r="L6" s="5">
        <f>(J6)-(K6)</f>
        <v>0</v>
      </c>
      <c r="M6" s="6" t="str">
        <f>IF(K6=0,"",(J6)/(K6))</f>
        <v/>
      </c>
      <c r="N6" s="4"/>
      <c r="O6" s="4"/>
      <c r="P6" s="5">
        <f>(N6)-(O6)</f>
        <v>0</v>
      </c>
      <c r="Q6" s="6" t="str">
        <f>IF(O6=0,"",(N6)/(O6))</f>
        <v/>
      </c>
      <c r="R6" s="4"/>
      <c r="S6" s="4"/>
      <c r="T6" s="5">
        <f>(R6)-(S6)</f>
        <v>0</v>
      </c>
      <c r="U6" s="6" t="str">
        <f>IF(S6=0,"",(R6)/(S6))</f>
        <v/>
      </c>
      <c r="V6" s="5">
        <f>399.98</f>
        <v>399.98</v>
      </c>
      <c r="W6" s="4"/>
      <c r="X6" s="5">
        <f>(V6)-(W6)</f>
        <v>399.98</v>
      </c>
      <c r="Y6" s="6" t="str">
        <f>IF(W6=0,"",(V6)/(W6))</f>
        <v/>
      </c>
      <c r="Z6" s="4"/>
      <c r="AA6" s="4"/>
      <c r="AB6" s="5">
        <f>(Z6)-(AA6)</f>
        <v>0</v>
      </c>
      <c r="AC6" s="6" t="str">
        <f>IF(AA6=0,"",(Z6)/(AA6))</f>
        <v/>
      </c>
      <c r="AD6" s="4"/>
      <c r="AE6" s="4"/>
      <c r="AF6" s="5">
        <f>(AD6)-(AE6)</f>
        <v>0</v>
      </c>
      <c r="AG6" s="6" t="str">
        <f>IF(AE6=0,"",(AD6)/(AE6))</f>
        <v/>
      </c>
      <c r="AH6" s="4"/>
      <c r="AI6" s="4"/>
      <c r="AJ6" s="5">
        <f>(AH6)-(AI6)</f>
        <v>0</v>
      </c>
      <c r="AK6" s="6" t="str">
        <f>IF(AI6=0,"",(AH6)/(AI6))</f>
        <v/>
      </c>
      <c r="AL6" s="4"/>
      <c r="AM6" s="4"/>
      <c r="AN6" s="5">
        <f>(AL6)-(AM6)</f>
        <v>0</v>
      </c>
      <c r="AO6" s="6" t="str">
        <f>IF(AM6=0,"",(AL6)/(AM6))</f>
        <v/>
      </c>
      <c r="AP6" s="4"/>
      <c r="AQ6" s="4"/>
      <c r="AR6" s="5">
        <f>(AP6)-(AQ6)</f>
        <v>0</v>
      </c>
      <c r="AS6" s="6" t="str">
        <f>IF(AQ6=0,"",(AP6)/(AQ6))</f>
        <v/>
      </c>
      <c r="AT6" s="4"/>
      <c r="AU6" s="4"/>
      <c r="AV6" s="5">
        <f>(AT6)-(AU6)</f>
        <v>0</v>
      </c>
      <c r="AW6" s="6" t="str">
        <f>IF(AU6=0,"",(AT6)/(AU6))</f>
        <v/>
      </c>
      <c r="AX6" s="76">
        <f>(((((((((((C6)+(G6))+(K6))+(O6))+(S6))+(W6))+(AA6))+(AE6))+(AI6))+(AM6))+(AQ6))+(AU6)</f>
        <v>0</v>
      </c>
      <c r="AY6" s="5">
        <v>0</v>
      </c>
      <c r="AZ6" s="5">
        <v>0</v>
      </c>
      <c r="BA6" s="5"/>
      <c r="BB6" s="5">
        <v>0</v>
      </c>
      <c r="BC6" s="5"/>
      <c r="BD6" s="5">
        <v>0</v>
      </c>
      <c r="BE6" s="5">
        <v>0</v>
      </c>
      <c r="BF6" s="5">
        <v>0</v>
      </c>
      <c r="BG6" s="107"/>
      <c r="BH6" s="107"/>
      <c r="BI6" s="7">
        <v>0</v>
      </c>
    </row>
    <row r="7" spans="1:67" x14ac:dyDescent="0.25">
      <c r="A7" s="3" t="s">
        <v>87</v>
      </c>
      <c r="B7" s="5">
        <f>6750</f>
        <v>6750</v>
      </c>
      <c r="C7" s="5">
        <f>3666.67</f>
        <v>3666.67</v>
      </c>
      <c r="D7" s="5">
        <f>(B7)-(C7)</f>
        <v>3083.33</v>
      </c>
      <c r="E7" s="6">
        <f>IF(C7=0,"",(B7)/(C7))</f>
        <v>1.8409074173568933</v>
      </c>
      <c r="F7" s="5">
        <f>4450</f>
        <v>4450</v>
      </c>
      <c r="G7" s="5">
        <f>3666.67</f>
        <v>3666.67</v>
      </c>
      <c r="H7" s="5">
        <f>(F7)-(G7)</f>
        <v>783.32999999999993</v>
      </c>
      <c r="I7" s="6">
        <f>IF(G7=0,"",(F7)/(G7))</f>
        <v>1.2136352603315814</v>
      </c>
      <c r="J7" s="5">
        <f>5450</f>
        <v>5450</v>
      </c>
      <c r="K7" s="5">
        <f>3666.67</f>
        <v>3666.67</v>
      </c>
      <c r="L7" s="5">
        <f>(J7)-(K7)</f>
        <v>1783.33</v>
      </c>
      <c r="M7" s="6">
        <f>IF(K7=0,"",(J7)/(K7))</f>
        <v>1.4863622851251954</v>
      </c>
      <c r="N7" s="5">
        <f>7700</f>
        <v>7700</v>
      </c>
      <c r="O7" s="5">
        <f>3666.67</f>
        <v>3666.67</v>
      </c>
      <c r="P7" s="5">
        <f>(N7)-(O7)</f>
        <v>4033.33</v>
      </c>
      <c r="Q7" s="6">
        <f>IF(O7=0,"",(N7)/(O7))</f>
        <v>2.0999980909108262</v>
      </c>
      <c r="R7" s="5">
        <f>16450</f>
        <v>16450</v>
      </c>
      <c r="S7" s="5">
        <f>3666.67</f>
        <v>3666.67</v>
      </c>
      <c r="T7" s="5">
        <f>(R7)-(S7)</f>
        <v>12783.33</v>
      </c>
      <c r="U7" s="6">
        <f>IF(S7=0,"",(R7)/(S7))</f>
        <v>4.4863595578549473</v>
      </c>
      <c r="V7" s="5">
        <f>2200</f>
        <v>2200</v>
      </c>
      <c r="W7" s="5">
        <f>3666.67</f>
        <v>3666.67</v>
      </c>
      <c r="X7" s="5">
        <f>(V7)-(W7)</f>
        <v>-1466.67</v>
      </c>
      <c r="Y7" s="6">
        <f>IF(W7=0,"",(V7)/(W7))</f>
        <v>0.59999945454595038</v>
      </c>
      <c r="Z7" s="4"/>
      <c r="AA7" s="5">
        <f>3666.67</f>
        <v>3666.67</v>
      </c>
      <c r="AB7" s="5">
        <f>(Z7)-(AA7)</f>
        <v>-3666.67</v>
      </c>
      <c r="AC7" s="6">
        <f>IF(AA7=0,"",(Z7)/(AA7))</f>
        <v>0</v>
      </c>
      <c r="AD7" s="4"/>
      <c r="AE7" s="5">
        <f>3666.67</f>
        <v>3666.67</v>
      </c>
      <c r="AF7" s="5">
        <f>(AD7)-(AE7)</f>
        <v>-3666.67</v>
      </c>
      <c r="AG7" s="6">
        <f>IF(AE7=0,"",(AD7)/(AE7))</f>
        <v>0</v>
      </c>
      <c r="AH7" s="4"/>
      <c r="AI7" s="5">
        <f>3666.67</f>
        <v>3666.67</v>
      </c>
      <c r="AJ7" s="5">
        <f>(AH7)-(AI7)</f>
        <v>-3666.67</v>
      </c>
      <c r="AK7" s="6">
        <f>IF(AI7=0,"",(AH7)/(AI7))</f>
        <v>0</v>
      </c>
      <c r="AL7" s="4"/>
      <c r="AM7" s="5">
        <f>3666.67</f>
        <v>3666.67</v>
      </c>
      <c r="AN7" s="5">
        <f>(AL7)-(AM7)</f>
        <v>-3666.67</v>
      </c>
      <c r="AO7" s="6">
        <f>IF(AM7=0,"",(AL7)/(AM7))</f>
        <v>0</v>
      </c>
      <c r="AP7" s="4"/>
      <c r="AQ7" s="5">
        <f>3666.67</f>
        <v>3666.67</v>
      </c>
      <c r="AR7" s="5">
        <f>(AP7)-(AQ7)</f>
        <v>-3666.67</v>
      </c>
      <c r="AS7" s="6">
        <f>IF(AQ7=0,"",(AP7)/(AQ7))</f>
        <v>0</v>
      </c>
      <c r="AT7" s="4"/>
      <c r="AU7" s="5">
        <f>3666.63</f>
        <v>3666.63</v>
      </c>
      <c r="AV7" s="5">
        <f>(AT7)-(AU7)</f>
        <v>-3666.63</v>
      </c>
      <c r="AW7" s="6">
        <f>IF(AU7=0,"",(AT7)/(AU7))</f>
        <v>0</v>
      </c>
      <c r="AX7" s="77">
        <v>43000</v>
      </c>
      <c r="AY7" s="8">
        <v>31500</v>
      </c>
      <c r="AZ7" s="10">
        <v>33000</v>
      </c>
      <c r="BA7" s="10">
        <v>0</v>
      </c>
      <c r="BB7" s="9">
        <v>0</v>
      </c>
      <c r="BC7" s="115">
        <v>0</v>
      </c>
      <c r="BD7" s="10">
        <v>0</v>
      </c>
      <c r="BE7" s="10">
        <v>0</v>
      </c>
      <c r="BF7" s="10">
        <v>0</v>
      </c>
      <c r="BG7" s="108">
        <v>0</v>
      </c>
      <c r="BH7" s="108">
        <v>0</v>
      </c>
      <c r="BI7" s="11">
        <v>0</v>
      </c>
    </row>
    <row r="8" spans="1:67" x14ac:dyDescent="0.25">
      <c r="A8" s="3" t="s">
        <v>99</v>
      </c>
      <c r="B8" s="5">
        <f>24111.32</f>
        <v>24111.32</v>
      </c>
      <c r="C8" s="5">
        <f>8096</f>
        <v>8096</v>
      </c>
      <c r="D8" s="5">
        <f>(B8)-(C8)</f>
        <v>16015.32</v>
      </c>
      <c r="E8" s="6">
        <f>IF(C8=0,"",(B8)/(C8))</f>
        <v>2.9781768774703559</v>
      </c>
      <c r="F8" s="5">
        <f>8987.09</f>
        <v>8987.09</v>
      </c>
      <c r="G8" s="5">
        <f>8096</f>
        <v>8096</v>
      </c>
      <c r="H8" s="5">
        <f>(F8)-(G8)</f>
        <v>891.09000000000015</v>
      </c>
      <c r="I8" s="6">
        <f>IF(G8=0,"",(F8)/(G8))</f>
        <v>1.1100654644268775</v>
      </c>
      <c r="J8" s="5">
        <f>6550.83</f>
        <v>6550.83</v>
      </c>
      <c r="K8" s="5">
        <f>8096</f>
        <v>8096</v>
      </c>
      <c r="L8" s="5">
        <f>(J8)-(K8)</f>
        <v>-1545.17</v>
      </c>
      <c r="M8" s="6">
        <f>IF(K8=0,"",(J8)/(K8))</f>
        <v>0.80914402173913047</v>
      </c>
      <c r="N8" s="5">
        <f>7938.56</f>
        <v>7938.56</v>
      </c>
      <c r="O8" s="5">
        <f>8096</f>
        <v>8096</v>
      </c>
      <c r="P8" s="5">
        <f>(N8)-(O8)</f>
        <v>-157.4399999999996</v>
      </c>
      <c r="Q8" s="6">
        <f>IF(O8=0,"",(N8)/(O8))</f>
        <v>0.98055335968379453</v>
      </c>
      <c r="R8" s="5">
        <f>8837.83</f>
        <v>8837.83</v>
      </c>
      <c r="S8" s="5">
        <f>8096</f>
        <v>8096</v>
      </c>
      <c r="T8" s="5">
        <f>(R8)-(S8)</f>
        <v>741.82999999999993</v>
      </c>
      <c r="U8" s="6">
        <f>IF(S8=0,"",(R8)/(S8))</f>
        <v>1.0916291996047431</v>
      </c>
      <c r="V8" s="5">
        <f>4248.71</f>
        <v>4248.71</v>
      </c>
      <c r="W8" s="5">
        <f>8096</f>
        <v>8096</v>
      </c>
      <c r="X8" s="5">
        <f>(V8)-(W8)</f>
        <v>-3847.29</v>
      </c>
      <c r="Y8" s="6">
        <f>IF(W8=0,"",(V8)/(W8))</f>
        <v>0.52479125494071144</v>
      </c>
      <c r="Z8" s="4"/>
      <c r="AA8" s="5">
        <f>8096</f>
        <v>8096</v>
      </c>
      <c r="AB8" s="5">
        <f>(Z8)-(AA8)</f>
        <v>-8096</v>
      </c>
      <c r="AC8" s="6">
        <f>IF(AA8=0,"",(Z8)/(AA8))</f>
        <v>0</v>
      </c>
      <c r="AD8" s="4"/>
      <c r="AE8" s="5">
        <f>8096</f>
        <v>8096</v>
      </c>
      <c r="AF8" s="5">
        <f>(AD8)-(AE8)</f>
        <v>-8096</v>
      </c>
      <c r="AG8" s="6">
        <f>IF(AE8=0,"",(AD8)/(AE8))</f>
        <v>0</v>
      </c>
      <c r="AH8" s="4"/>
      <c r="AI8" s="5">
        <f>8096</f>
        <v>8096</v>
      </c>
      <c r="AJ8" s="5">
        <f>(AH8)-(AI8)</f>
        <v>-8096</v>
      </c>
      <c r="AK8" s="6">
        <f>IF(AI8=0,"",(AH8)/(AI8))</f>
        <v>0</v>
      </c>
      <c r="AL8" s="4"/>
      <c r="AM8" s="5">
        <f>8096</f>
        <v>8096</v>
      </c>
      <c r="AN8" s="5">
        <f>(AL8)-(AM8)</f>
        <v>-8096</v>
      </c>
      <c r="AO8" s="6">
        <f>IF(AM8=0,"",(AL8)/(AM8))</f>
        <v>0</v>
      </c>
      <c r="AP8" s="4"/>
      <c r="AQ8" s="5">
        <f>8096</f>
        <v>8096</v>
      </c>
      <c r="AR8" s="5">
        <f>(AP8)-(AQ8)</f>
        <v>-8096</v>
      </c>
      <c r="AS8" s="6">
        <f>IF(AQ8=0,"",(AP8)/(AQ8))</f>
        <v>0</v>
      </c>
      <c r="AT8" s="4"/>
      <c r="AU8" s="5">
        <f>8098</f>
        <v>8098</v>
      </c>
      <c r="AV8" s="5">
        <f>(AT8)-(AU8)</f>
        <v>-8098</v>
      </c>
      <c r="AW8" s="6">
        <f>IF(AU8=0,"",(AT8)/(AU8))</f>
        <v>0</v>
      </c>
      <c r="AX8" s="77">
        <v>94410</v>
      </c>
      <c r="AY8" s="8">
        <v>85815.56</v>
      </c>
      <c r="AZ8" s="9">
        <v>97154</v>
      </c>
      <c r="BA8" s="9">
        <v>103256</v>
      </c>
      <c r="BB8" s="10">
        <f>97154*1.05</f>
        <v>102011.7</v>
      </c>
      <c r="BC8" s="123">
        <v>117803</v>
      </c>
      <c r="BD8" s="123">
        <v>117823</v>
      </c>
      <c r="BE8" s="123">
        <v>123715</v>
      </c>
      <c r="BF8" s="123">
        <f>+BE8*1.05</f>
        <v>129900.75</v>
      </c>
      <c r="BG8" s="123">
        <f>+BF8*1.05</f>
        <v>136395.78750000001</v>
      </c>
      <c r="BH8" s="123">
        <f t="shared" ref="BH8:BI8" si="0">+BG8*1.05</f>
        <v>143215.576875</v>
      </c>
      <c r="BI8" s="124">
        <f t="shared" si="0"/>
        <v>150376.35571875001</v>
      </c>
      <c r="BK8" s="111"/>
    </row>
    <row r="9" spans="1:67" x14ac:dyDescent="0.25">
      <c r="A9" s="12" t="s">
        <v>86</v>
      </c>
      <c r="B9" s="13"/>
      <c r="C9" s="13"/>
      <c r="D9" s="13"/>
      <c r="E9" s="14"/>
      <c r="F9" s="13"/>
      <c r="G9" s="13"/>
      <c r="H9" s="13"/>
      <c r="I9" s="14"/>
      <c r="J9" s="13"/>
      <c r="K9" s="13"/>
      <c r="L9" s="13"/>
      <c r="M9" s="14"/>
      <c r="N9" s="13"/>
      <c r="O9" s="13"/>
      <c r="P9" s="13"/>
      <c r="Q9" s="14"/>
      <c r="R9" s="13"/>
      <c r="S9" s="13"/>
      <c r="T9" s="13"/>
      <c r="U9" s="14"/>
      <c r="V9" s="13"/>
      <c r="W9" s="13"/>
      <c r="X9" s="13"/>
      <c r="Y9" s="14"/>
      <c r="Z9" s="15"/>
      <c r="AA9" s="13"/>
      <c r="AB9" s="13"/>
      <c r="AC9" s="14"/>
      <c r="AD9" s="15"/>
      <c r="AE9" s="13"/>
      <c r="AF9" s="13"/>
      <c r="AG9" s="14"/>
      <c r="AH9" s="15"/>
      <c r="AI9" s="13"/>
      <c r="AJ9" s="13"/>
      <c r="AK9" s="14"/>
      <c r="AL9" s="15"/>
      <c r="AM9" s="13"/>
      <c r="AN9" s="13"/>
      <c r="AO9" s="14"/>
      <c r="AP9" s="15"/>
      <c r="AQ9" s="13"/>
      <c r="AR9" s="13"/>
      <c r="AS9" s="14"/>
      <c r="AT9" s="15"/>
      <c r="AU9" s="13"/>
      <c r="AV9" s="13"/>
      <c r="AW9" s="14"/>
      <c r="AX9" s="78"/>
      <c r="AY9" s="95">
        <v>56002.02</v>
      </c>
      <c r="AZ9" s="16">
        <v>56002.02</v>
      </c>
      <c r="BA9" s="16">
        <v>22011.85</v>
      </c>
      <c r="BB9" s="17">
        <v>22011.85</v>
      </c>
      <c r="BC9" s="133">
        <f>30804-7000</f>
        <v>23804</v>
      </c>
      <c r="BD9" s="112">
        <v>0</v>
      </c>
      <c r="BE9" s="123">
        <f>+BC79</f>
        <v>41842</v>
      </c>
      <c r="BF9" s="112">
        <f>+BE79</f>
        <v>35221.684999999998</v>
      </c>
      <c r="BG9" s="113">
        <f>+BF79</f>
        <v>31508.404999999999</v>
      </c>
      <c r="BH9" s="113">
        <f>+BG79</f>
        <v>21098.577500000014</v>
      </c>
      <c r="BI9" s="114">
        <v>0</v>
      </c>
    </row>
    <row r="10" spans="1:67" x14ac:dyDescent="0.25">
      <c r="A10" s="18" t="s">
        <v>88</v>
      </c>
      <c r="B10" s="19">
        <f>((B6)+(B7))+(B8)</f>
        <v>30861.32</v>
      </c>
      <c r="C10" s="19">
        <f>((C6)+(C7))+(C8)</f>
        <v>11762.67</v>
      </c>
      <c r="D10" s="19">
        <f>(B10)-(C10)</f>
        <v>19098.650000000001</v>
      </c>
      <c r="E10" s="20">
        <f>IF(C10=0,"",(B10)/(C10))</f>
        <v>2.6236662254403122</v>
      </c>
      <c r="F10" s="19">
        <f>((F6)+(F7))+(F8)</f>
        <v>13437.09</v>
      </c>
      <c r="G10" s="19">
        <f>((G6)+(G7))+(G8)</f>
        <v>11762.67</v>
      </c>
      <c r="H10" s="19">
        <f>(F10)-(G10)</f>
        <v>1674.42</v>
      </c>
      <c r="I10" s="20">
        <f>IF(G10=0,"",(F10)/(G10))</f>
        <v>1.1423503337252512</v>
      </c>
      <c r="J10" s="19">
        <f>((J6)+(J7))+(J8)</f>
        <v>12000.83</v>
      </c>
      <c r="K10" s="19">
        <f>((K6)+(K7))+(K8)</f>
        <v>11762.67</v>
      </c>
      <c r="L10" s="19">
        <f>(J10)-(K10)</f>
        <v>238.15999999999985</v>
      </c>
      <c r="M10" s="20">
        <f>IF(K10=0,"",(J10)/(K10))</f>
        <v>1.0202471037613059</v>
      </c>
      <c r="N10" s="19">
        <f>((N6)+(N7))+(N8)</f>
        <v>15638.560000000001</v>
      </c>
      <c r="O10" s="19">
        <f>((O6)+(O7))+(O8)</f>
        <v>11762.67</v>
      </c>
      <c r="P10" s="19">
        <f>(N10)-(O10)</f>
        <v>3875.8900000000012</v>
      </c>
      <c r="Q10" s="20">
        <f>IF(O10=0,"",(N10)/(O10))</f>
        <v>1.3295076713025189</v>
      </c>
      <c r="R10" s="19">
        <f>((R6)+(R7))+(R8)</f>
        <v>25287.83</v>
      </c>
      <c r="S10" s="19">
        <f>((S6)+(S7))+(S8)</f>
        <v>11762.67</v>
      </c>
      <c r="T10" s="19">
        <f>(R10)-(S10)</f>
        <v>13525.160000000002</v>
      </c>
      <c r="U10" s="20">
        <f>IF(S10=0,"",(R10)/(S10))</f>
        <v>2.1498375793931142</v>
      </c>
      <c r="V10" s="19">
        <f>((V6)+(V7))+(V8)</f>
        <v>6848.6900000000005</v>
      </c>
      <c r="W10" s="19">
        <f>((W6)+(W7))+(W8)</f>
        <v>11762.67</v>
      </c>
      <c r="X10" s="19">
        <f>(V10)-(W10)</f>
        <v>-4913.9799999999996</v>
      </c>
      <c r="Y10" s="20">
        <f>IF(W10=0,"",(V10)/(W10))</f>
        <v>0.58223940652929995</v>
      </c>
      <c r="Z10" s="19">
        <f>((Z6)+(Z7))+(Z8)</f>
        <v>0</v>
      </c>
      <c r="AA10" s="19">
        <f>((AA6)+(AA7))+(AA8)</f>
        <v>11762.67</v>
      </c>
      <c r="AB10" s="19">
        <f>(Z10)-(AA10)</f>
        <v>-11762.67</v>
      </c>
      <c r="AC10" s="20">
        <f>IF(AA10=0,"",(Z10)/(AA10))</f>
        <v>0</v>
      </c>
      <c r="AD10" s="19">
        <f>((AD6)+(AD7))+(AD8)</f>
        <v>0</v>
      </c>
      <c r="AE10" s="19">
        <f>((AE6)+(AE7))+(AE8)</f>
        <v>11762.67</v>
      </c>
      <c r="AF10" s="19">
        <f>(AD10)-(AE10)</f>
        <v>-11762.67</v>
      </c>
      <c r="AG10" s="20">
        <f>IF(AE10=0,"",(AD10)/(AE10))</f>
        <v>0</v>
      </c>
      <c r="AH10" s="19">
        <f>((AH6)+(AH7))+(AH8)</f>
        <v>0</v>
      </c>
      <c r="AI10" s="19">
        <f>((AI6)+(AI7))+(AI8)</f>
        <v>11762.67</v>
      </c>
      <c r="AJ10" s="19">
        <f>(AH10)-(AI10)</f>
        <v>-11762.67</v>
      </c>
      <c r="AK10" s="20">
        <f>IF(AI10=0,"",(AH10)/(AI10))</f>
        <v>0</v>
      </c>
      <c r="AL10" s="19">
        <f>((AL6)+(AL7))+(AL8)</f>
        <v>0</v>
      </c>
      <c r="AM10" s="19">
        <f>((AM6)+(AM7))+(AM8)</f>
        <v>11762.67</v>
      </c>
      <c r="AN10" s="19">
        <f>(AL10)-(AM10)</f>
        <v>-11762.67</v>
      </c>
      <c r="AO10" s="20">
        <f>IF(AM10=0,"",(AL10)/(AM10))</f>
        <v>0</v>
      </c>
      <c r="AP10" s="19">
        <f>((AP6)+(AP7))+(AP8)</f>
        <v>0</v>
      </c>
      <c r="AQ10" s="19">
        <f>((AQ6)+(AQ7))+(AQ8)</f>
        <v>11762.67</v>
      </c>
      <c r="AR10" s="19">
        <f>(AP10)-(AQ10)</f>
        <v>-11762.67</v>
      </c>
      <c r="AS10" s="20">
        <f>IF(AQ10=0,"",(AP10)/(AQ10))</f>
        <v>0</v>
      </c>
      <c r="AT10" s="19">
        <f>((AT6)+(AT7))+(AT8)</f>
        <v>0</v>
      </c>
      <c r="AU10" s="19">
        <f>((AU6)+(AU7))+(AU8)</f>
        <v>11764.630000000001</v>
      </c>
      <c r="AV10" s="19">
        <f>(AT10)-(AU10)</f>
        <v>-11764.630000000001</v>
      </c>
      <c r="AW10" s="20">
        <f>IF(AU10=0,"",(AT10)/(AU10))</f>
        <v>0</v>
      </c>
      <c r="AX10" s="79">
        <f>SUM(AX7:AX8)</f>
        <v>137410</v>
      </c>
      <c r="AY10" s="21">
        <f t="shared" ref="AY10:BF10" si="1">SUM(AY7:AY9)</f>
        <v>173317.58</v>
      </c>
      <c r="AZ10" s="21">
        <f t="shared" si="1"/>
        <v>186156.02</v>
      </c>
      <c r="BA10" s="21">
        <f t="shared" si="1"/>
        <v>125267.85</v>
      </c>
      <c r="BB10" s="21">
        <f t="shared" si="1"/>
        <v>124023.54999999999</v>
      </c>
      <c r="BC10" s="116">
        <f t="shared" si="1"/>
        <v>141607</v>
      </c>
      <c r="BD10" s="116">
        <f t="shared" si="1"/>
        <v>117823</v>
      </c>
      <c r="BE10" s="116">
        <f t="shared" si="1"/>
        <v>165557</v>
      </c>
      <c r="BF10" s="116">
        <f t="shared" si="1"/>
        <v>165122.435</v>
      </c>
      <c r="BG10" s="116">
        <f t="shared" ref="BG10" si="2">SUM(BG7:BG9)</f>
        <v>167904.1925</v>
      </c>
      <c r="BH10" s="116">
        <f t="shared" ref="BH10" si="3">SUM(BH7:BH9)</f>
        <v>164314.15437500001</v>
      </c>
      <c r="BI10" s="117">
        <f t="shared" ref="BI10" si="4">SUM(BI7:BI9)</f>
        <v>150376.35571875001</v>
      </c>
    </row>
    <row r="11" spans="1:67" hidden="1" x14ac:dyDescent="0.25">
      <c r="A11" s="22" t="s">
        <v>19</v>
      </c>
      <c r="B11" s="23">
        <f>(B10)-(0)</f>
        <v>30861.32</v>
      </c>
      <c r="C11" s="23">
        <f>(C10)-(0)</f>
        <v>11762.67</v>
      </c>
      <c r="D11" s="23">
        <f>(B11)-(C11)</f>
        <v>19098.650000000001</v>
      </c>
      <c r="E11" s="24">
        <f>IF(C11=0,"",(B11)/(C11))</f>
        <v>2.6236662254403122</v>
      </c>
      <c r="F11" s="23">
        <f>(F10)-(0)</f>
        <v>13437.09</v>
      </c>
      <c r="G11" s="23">
        <f>(G10)-(0)</f>
        <v>11762.67</v>
      </c>
      <c r="H11" s="23">
        <f>(F11)-(G11)</f>
        <v>1674.42</v>
      </c>
      <c r="I11" s="24">
        <f>IF(G11=0,"",(F11)/(G11))</f>
        <v>1.1423503337252512</v>
      </c>
      <c r="J11" s="23">
        <f>(J10)-(0)</f>
        <v>12000.83</v>
      </c>
      <c r="K11" s="23">
        <f>(K10)-(0)</f>
        <v>11762.67</v>
      </c>
      <c r="L11" s="23">
        <f>(J11)-(K11)</f>
        <v>238.15999999999985</v>
      </c>
      <c r="M11" s="24">
        <f>IF(K11=0,"",(J11)/(K11))</f>
        <v>1.0202471037613059</v>
      </c>
      <c r="N11" s="23">
        <f>(N10)-(0)</f>
        <v>15638.560000000001</v>
      </c>
      <c r="O11" s="23">
        <f>(O10)-(0)</f>
        <v>11762.67</v>
      </c>
      <c r="P11" s="23">
        <f>(N11)-(O11)</f>
        <v>3875.8900000000012</v>
      </c>
      <c r="Q11" s="24">
        <f>IF(O11=0,"",(N11)/(O11))</f>
        <v>1.3295076713025189</v>
      </c>
      <c r="R11" s="23">
        <f>(R10)-(0)</f>
        <v>25287.83</v>
      </c>
      <c r="S11" s="23">
        <f>(S10)-(0)</f>
        <v>11762.67</v>
      </c>
      <c r="T11" s="23">
        <f>(R11)-(S11)</f>
        <v>13525.160000000002</v>
      </c>
      <c r="U11" s="24">
        <f>IF(S11=0,"",(R11)/(S11))</f>
        <v>2.1498375793931142</v>
      </c>
      <c r="V11" s="23">
        <f>(V10)-(0)</f>
        <v>6848.6900000000005</v>
      </c>
      <c r="W11" s="23">
        <f>(W10)-(0)</f>
        <v>11762.67</v>
      </c>
      <c r="X11" s="23">
        <f>(V11)-(W11)</f>
        <v>-4913.9799999999996</v>
      </c>
      <c r="Y11" s="24">
        <f>IF(W11=0,"",(V11)/(W11))</f>
        <v>0.58223940652929995</v>
      </c>
      <c r="Z11" s="23">
        <f>(Z10)-(0)</f>
        <v>0</v>
      </c>
      <c r="AA11" s="23">
        <f>(AA10)-(0)</f>
        <v>11762.67</v>
      </c>
      <c r="AB11" s="23">
        <f>(Z11)-(AA11)</f>
        <v>-11762.67</v>
      </c>
      <c r="AC11" s="24">
        <f>IF(AA11=0,"",(Z11)/(AA11))</f>
        <v>0</v>
      </c>
      <c r="AD11" s="23">
        <f>(AD10)-(0)</f>
        <v>0</v>
      </c>
      <c r="AE11" s="23">
        <f>(AE10)-(0)</f>
        <v>11762.67</v>
      </c>
      <c r="AF11" s="23">
        <f>(AD11)-(AE11)</f>
        <v>-11762.67</v>
      </c>
      <c r="AG11" s="24">
        <f>IF(AE11=0,"",(AD11)/(AE11))</f>
        <v>0</v>
      </c>
      <c r="AH11" s="23">
        <f>(AH10)-(0)</f>
        <v>0</v>
      </c>
      <c r="AI11" s="23">
        <f>(AI10)-(0)</f>
        <v>11762.67</v>
      </c>
      <c r="AJ11" s="23">
        <f>(AH11)-(AI11)</f>
        <v>-11762.67</v>
      </c>
      <c r="AK11" s="24">
        <f>IF(AI11=0,"",(AH11)/(AI11))</f>
        <v>0</v>
      </c>
      <c r="AL11" s="23">
        <f>(AL10)-(0)</f>
        <v>0</v>
      </c>
      <c r="AM11" s="23">
        <f>(AM10)-(0)</f>
        <v>11762.67</v>
      </c>
      <c r="AN11" s="23">
        <f>(AL11)-(AM11)</f>
        <v>-11762.67</v>
      </c>
      <c r="AO11" s="24">
        <f>IF(AM11=0,"",(AL11)/(AM11))</f>
        <v>0</v>
      </c>
      <c r="AP11" s="23">
        <f>(AP10)-(0)</f>
        <v>0</v>
      </c>
      <c r="AQ11" s="23">
        <f>(AQ10)-(0)</f>
        <v>11762.67</v>
      </c>
      <c r="AR11" s="23">
        <f>(AP11)-(AQ11)</f>
        <v>-11762.67</v>
      </c>
      <c r="AS11" s="24">
        <f>IF(AQ11=0,"",(AP11)/(AQ11))</f>
        <v>0</v>
      </c>
      <c r="AT11" s="23">
        <f>(AT10)-(0)</f>
        <v>0</v>
      </c>
      <c r="AU11" s="23">
        <f>(AU10)-(0)</f>
        <v>11764.630000000001</v>
      </c>
      <c r="AV11" s="23">
        <f>(AT11)-(AU11)</f>
        <v>-11764.630000000001</v>
      </c>
      <c r="AW11" s="24">
        <f>IF(AU11=0,"",(AT11)/(AU11))</f>
        <v>0</v>
      </c>
      <c r="AX11" s="80">
        <f>(((((((((((C11)+(G11))+(K11))+(O11))+(S11))+(W11))+(AA11))+(AE11))+(AI11))+(AM11))+(AQ11))+(AU11)</f>
        <v>141154</v>
      </c>
      <c r="AY11" s="25">
        <v>141154</v>
      </c>
      <c r="AZ11" s="25">
        <v>141154</v>
      </c>
      <c r="BA11" s="25">
        <v>141154</v>
      </c>
      <c r="BB11" s="25">
        <v>141154</v>
      </c>
      <c r="BC11" s="25"/>
      <c r="BD11" s="25">
        <v>141154</v>
      </c>
      <c r="BE11" s="25">
        <v>141154</v>
      </c>
      <c r="BF11" s="25">
        <v>141154</v>
      </c>
      <c r="BG11" s="25"/>
      <c r="BH11" s="25"/>
      <c r="BI11" s="26">
        <v>141154</v>
      </c>
    </row>
    <row r="12" spans="1:67" x14ac:dyDescent="0.25">
      <c r="A12" s="27" t="s">
        <v>20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81"/>
      <c r="AY12" s="29"/>
      <c r="AZ12" s="29"/>
      <c r="BA12" s="29"/>
      <c r="BB12" s="29"/>
      <c r="BC12" s="29"/>
      <c r="BD12" s="29"/>
      <c r="BE12" s="29"/>
      <c r="BF12" s="29"/>
      <c r="BG12" s="109"/>
      <c r="BH12" s="109"/>
      <c r="BI12" s="30"/>
    </row>
    <row r="13" spans="1:67" x14ac:dyDescent="0.25">
      <c r="A13" s="3" t="s">
        <v>21</v>
      </c>
      <c r="B13" s="5">
        <f>9</f>
        <v>9</v>
      </c>
      <c r="C13" s="5">
        <f>4</f>
        <v>4</v>
      </c>
      <c r="D13" s="5">
        <f t="shared" ref="D13:D47" si="5">(B13)-(C13)</f>
        <v>5</v>
      </c>
      <c r="E13" s="6">
        <f t="shared" ref="E13:E47" si="6">IF(C13=0,"",(B13)/(C13))</f>
        <v>2.25</v>
      </c>
      <c r="F13" s="5">
        <f>4</f>
        <v>4</v>
      </c>
      <c r="G13" s="5">
        <f>4</f>
        <v>4</v>
      </c>
      <c r="H13" s="5">
        <f t="shared" ref="H13:H47" si="7">(F13)-(G13)</f>
        <v>0</v>
      </c>
      <c r="I13" s="6">
        <f t="shared" ref="I13:I47" si="8">IF(G13=0,"",(F13)/(G13))</f>
        <v>1</v>
      </c>
      <c r="J13" s="5">
        <f>4</f>
        <v>4</v>
      </c>
      <c r="K13" s="5">
        <f>4</f>
        <v>4</v>
      </c>
      <c r="L13" s="5">
        <f t="shared" ref="L13:L47" si="9">(J13)-(K13)</f>
        <v>0</v>
      </c>
      <c r="M13" s="6">
        <f t="shared" ref="M13:M47" si="10">IF(K13=0,"",(J13)/(K13))</f>
        <v>1</v>
      </c>
      <c r="N13" s="5">
        <f>4</f>
        <v>4</v>
      </c>
      <c r="O13" s="5">
        <f>4</f>
        <v>4</v>
      </c>
      <c r="P13" s="5">
        <f t="shared" ref="P13:P47" si="11">(N13)-(O13)</f>
        <v>0</v>
      </c>
      <c r="Q13" s="6">
        <f t="shared" ref="Q13:Q47" si="12">IF(O13=0,"",(N13)/(O13))</f>
        <v>1</v>
      </c>
      <c r="R13" s="5">
        <f>4</f>
        <v>4</v>
      </c>
      <c r="S13" s="5">
        <f>4</f>
        <v>4</v>
      </c>
      <c r="T13" s="5">
        <f t="shared" ref="T13:T47" si="13">(R13)-(S13)</f>
        <v>0</v>
      </c>
      <c r="U13" s="6">
        <f t="shared" ref="U13:U47" si="14">IF(S13=0,"",(R13)/(S13))</f>
        <v>1</v>
      </c>
      <c r="V13" s="4"/>
      <c r="W13" s="5">
        <f>4</f>
        <v>4</v>
      </c>
      <c r="X13" s="5">
        <f t="shared" ref="X13:X47" si="15">(V13)-(W13)</f>
        <v>-4</v>
      </c>
      <c r="Y13" s="6">
        <f t="shared" ref="Y13:Y47" si="16">IF(W13=0,"",(V13)/(W13))</f>
        <v>0</v>
      </c>
      <c r="Z13" s="4"/>
      <c r="AA13" s="5">
        <f>4</f>
        <v>4</v>
      </c>
      <c r="AB13" s="5">
        <f t="shared" ref="AB13:AB47" si="17">(Z13)-(AA13)</f>
        <v>-4</v>
      </c>
      <c r="AC13" s="6">
        <f t="shared" ref="AC13:AC47" si="18">IF(AA13=0,"",(Z13)/(AA13))</f>
        <v>0</v>
      </c>
      <c r="AD13" s="4"/>
      <c r="AE13" s="5">
        <f>4</f>
        <v>4</v>
      </c>
      <c r="AF13" s="5">
        <f t="shared" ref="AF13:AF47" si="19">(AD13)-(AE13)</f>
        <v>-4</v>
      </c>
      <c r="AG13" s="6">
        <f t="shared" ref="AG13:AG47" si="20">IF(AE13=0,"",(AD13)/(AE13))</f>
        <v>0</v>
      </c>
      <c r="AH13" s="4"/>
      <c r="AI13" s="5">
        <f>4</f>
        <v>4</v>
      </c>
      <c r="AJ13" s="5">
        <f t="shared" ref="AJ13:AJ47" si="21">(AH13)-(AI13)</f>
        <v>-4</v>
      </c>
      <c r="AK13" s="6">
        <f t="shared" ref="AK13:AK47" si="22">IF(AI13=0,"",(AH13)/(AI13))</f>
        <v>0</v>
      </c>
      <c r="AL13" s="4"/>
      <c r="AM13" s="5">
        <f>4</f>
        <v>4</v>
      </c>
      <c r="AN13" s="5">
        <f t="shared" ref="AN13:AN47" si="23">(AL13)-(AM13)</f>
        <v>-4</v>
      </c>
      <c r="AO13" s="6">
        <f t="shared" ref="AO13:AO47" si="24">IF(AM13=0,"",(AL13)/(AM13))</f>
        <v>0</v>
      </c>
      <c r="AP13" s="4"/>
      <c r="AQ13" s="5">
        <f>4</f>
        <v>4</v>
      </c>
      <c r="AR13" s="5">
        <f t="shared" ref="AR13:AR47" si="25">(AP13)-(AQ13)</f>
        <v>-4</v>
      </c>
      <c r="AS13" s="6">
        <f t="shared" ref="AS13:AS47" si="26">IF(AQ13=0,"",(AP13)/(AQ13))</f>
        <v>0</v>
      </c>
      <c r="AT13" s="4"/>
      <c r="AU13" s="5">
        <f>4</f>
        <v>4</v>
      </c>
      <c r="AV13" s="5">
        <f t="shared" ref="AV13:AV47" si="27">(AT13)-(AU13)</f>
        <v>-4</v>
      </c>
      <c r="AW13" s="6">
        <f t="shared" ref="AW13:AW47" si="28">IF(AU13=0,"",(AT13)/(AU13))</f>
        <v>0</v>
      </c>
      <c r="AX13" s="77">
        <v>65</v>
      </c>
      <c r="AY13" s="8">
        <v>0</v>
      </c>
      <c r="AZ13" s="9">
        <v>100</v>
      </c>
      <c r="BA13" s="9">
        <v>0</v>
      </c>
      <c r="BB13" s="9">
        <v>100</v>
      </c>
      <c r="BC13" s="123">
        <v>0</v>
      </c>
      <c r="BD13" s="123">
        <v>100</v>
      </c>
      <c r="BE13" s="123">
        <v>105</v>
      </c>
      <c r="BF13" s="123">
        <v>105</v>
      </c>
      <c r="BG13" s="123">
        <v>105</v>
      </c>
      <c r="BH13" s="123">
        <v>105</v>
      </c>
      <c r="BI13" s="124">
        <v>105</v>
      </c>
    </row>
    <row r="14" spans="1:67" x14ac:dyDescent="0.25">
      <c r="A14" s="3" t="s">
        <v>22</v>
      </c>
      <c r="B14" s="5">
        <f>29.96</f>
        <v>29.96</v>
      </c>
      <c r="C14" s="5">
        <f>40</f>
        <v>40</v>
      </c>
      <c r="D14" s="5">
        <f t="shared" si="5"/>
        <v>-10.039999999999999</v>
      </c>
      <c r="E14" s="6">
        <f t="shared" si="6"/>
        <v>0.749</v>
      </c>
      <c r="F14" s="5">
        <f>29.96</f>
        <v>29.96</v>
      </c>
      <c r="G14" s="5">
        <f>40</f>
        <v>40</v>
      </c>
      <c r="H14" s="5">
        <f t="shared" si="7"/>
        <v>-10.039999999999999</v>
      </c>
      <c r="I14" s="6">
        <f t="shared" si="8"/>
        <v>0.749</v>
      </c>
      <c r="J14" s="4"/>
      <c r="K14" s="5">
        <f>40</f>
        <v>40</v>
      </c>
      <c r="L14" s="5">
        <f t="shared" si="9"/>
        <v>-40</v>
      </c>
      <c r="M14" s="6">
        <f t="shared" si="10"/>
        <v>0</v>
      </c>
      <c r="N14" s="5">
        <f>42.8</f>
        <v>42.8</v>
      </c>
      <c r="O14" s="5">
        <f>40</f>
        <v>40</v>
      </c>
      <c r="P14" s="5">
        <f t="shared" si="11"/>
        <v>2.7999999999999972</v>
      </c>
      <c r="Q14" s="6">
        <f t="shared" si="12"/>
        <v>1.0699999999999998</v>
      </c>
      <c r="R14" s="5">
        <f>85.6</f>
        <v>85.6</v>
      </c>
      <c r="S14" s="5">
        <f>40</f>
        <v>40</v>
      </c>
      <c r="T14" s="5">
        <f t="shared" si="13"/>
        <v>45.599999999999994</v>
      </c>
      <c r="U14" s="6">
        <f t="shared" si="14"/>
        <v>2.1399999999999997</v>
      </c>
      <c r="V14" s="5">
        <f>42.8</f>
        <v>42.8</v>
      </c>
      <c r="W14" s="5">
        <f>40</f>
        <v>40</v>
      </c>
      <c r="X14" s="5">
        <f t="shared" si="15"/>
        <v>2.7999999999999972</v>
      </c>
      <c r="Y14" s="6">
        <f t="shared" si="16"/>
        <v>1.0699999999999998</v>
      </c>
      <c r="Z14" s="4"/>
      <c r="AA14" s="5">
        <f>40</f>
        <v>40</v>
      </c>
      <c r="AB14" s="5">
        <f t="shared" si="17"/>
        <v>-40</v>
      </c>
      <c r="AC14" s="6">
        <f t="shared" si="18"/>
        <v>0</v>
      </c>
      <c r="AD14" s="4"/>
      <c r="AE14" s="5">
        <f>40</f>
        <v>40</v>
      </c>
      <c r="AF14" s="5">
        <f t="shared" si="19"/>
        <v>-40</v>
      </c>
      <c r="AG14" s="6">
        <f t="shared" si="20"/>
        <v>0</v>
      </c>
      <c r="AH14" s="4"/>
      <c r="AI14" s="5">
        <f>40</f>
        <v>40</v>
      </c>
      <c r="AJ14" s="5">
        <f t="shared" si="21"/>
        <v>-40</v>
      </c>
      <c r="AK14" s="6">
        <f t="shared" si="22"/>
        <v>0</v>
      </c>
      <c r="AL14" s="4"/>
      <c r="AM14" s="5">
        <f>40</f>
        <v>40</v>
      </c>
      <c r="AN14" s="5">
        <f t="shared" si="23"/>
        <v>-40</v>
      </c>
      <c r="AO14" s="6">
        <f t="shared" si="24"/>
        <v>0</v>
      </c>
      <c r="AP14" s="4"/>
      <c r="AQ14" s="5">
        <f>40</f>
        <v>40</v>
      </c>
      <c r="AR14" s="5">
        <f t="shared" si="25"/>
        <v>-40</v>
      </c>
      <c r="AS14" s="6">
        <f t="shared" si="26"/>
        <v>0</v>
      </c>
      <c r="AT14" s="4"/>
      <c r="AU14" s="5">
        <f>40</f>
        <v>40</v>
      </c>
      <c r="AV14" s="5">
        <f t="shared" si="27"/>
        <v>-40</v>
      </c>
      <c r="AW14" s="6">
        <f t="shared" si="28"/>
        <v>0</v>
      </c>
      <c r="AX14" s="77">
        <v>541</v>
      </c>
      <c r="AY14" s="8">
        <v>812.35</v>
      </c>
      <c r="AZ14" s="9">
        <v>1000</v>
      </c>
      <c r="BA14" s="9">
        <v>3458.39</v>
      </c>
      <c r="BB14" s="8">
        <f>250*12</f>
        <v>3000</v>
      </c>
      <c r="BC14" s="123">
        <v>7720</v>
      </c>
      <c r="BD14" s="123">
        <v>7500</v>
      </c>
      <c r="BE14" s="123">
        <v>7800</v>
      </c>
      <c r="BF14" s="123">
        <v>8000</v>
      </c>
      <c r="BG14" s="123">
        <v>8200</v>
      </c>
      <c r="BH14" s="123">
        <v>8400</v>
      </c>
      <c r="BI14" s="124">
        <v>8600</v>
      </c>
    </row>
    <row r="15" spans="1:67" x14ac:dyDescent="0.25">
      <c r="A15" s="3" t="s">
        <v>23</v>
      </c>
      <c r="B15" s="4"/>
      <c r="C15" s="4"/>
      <c r="D15" s="5">
        <f t="shared" si="5"/>
        <v>0</v>
      </c>
      <c r="E15" s="6" t="str">
        <f t="shared" si="6"/>
        <v/>
      </c>
      <c r="F15" s="4"/>
      <c r="G15" s="4"/>
      <c r="H15" s="5">
        <f t="shared" si="7"/>
        <v>0</v>
      </c>
      <c r="I15" s="6" t="str">
        <f t="shared" si="8"/>
        <v/>
      </c>
      <c r="J15" s="4"/>
      <c r="K15" s="4"/>
      <c r="L15" s="5">
        <f t="shared" si="9"/>
        <v>0</v>
      </c>
      <c r="M15" s="6" t="str">
        <f t="shared" si="10"/>
        <v/>
      </c>
      <c r="N15" s="4"/>
      <c r="O15" s="4"/>
      <c r="P15" s="5">
        <f t="shared" si="11"/>
        <v>0</v>
      </c>
      <c r="Q15" s="6" t="str">
        <f t="shared" si="12"/>
        <v/>
      </c>
      <c r="R15" s="4"/>
      <c r="S15" s="4"/>
      <c r="T15" s="5">
        <f t="shared" si="13"/>
        <v>0</v>
      </c>
      <c r="U15" s="6" t="str">
        <f t="shared" si="14"/>
        <v/>
      </c>
      <c r="V15" s="4"/>
      <c r="W15" s="4"/>
      <c r="X15" s="5">
        <f t="shared" si="15"/>
        <v>0</v>
      </c>
      <c r="Y15" s="6" t="str">
        <f t="shared" si="16"/>
        <v/>
      </c>
      <c r="Z15" s="4"/>
      <c r="AA15" s="4"/>
      <c r="AB15" s="5">
        <f t="shared" si="17"/>
        <v>0</v>
      </c>
      <c r="AC15" s="6" t="str">
        <f t="shared" si="18"/>
        <v/>
      </c>
      <c r="AD15" s="4"/>
      <c r="AE15" s="4"/>
      <c r="AF15" s="5">
        <f t="shared" si="19"/>
        <v>0</v>
      </c>
      <c r="AG15" s="6" t="str">
        <f t="shared" si="20"/>
        <v/>
      </c>
      <c r="AH15" s="4"/>
      <c r="AI15" s="4"/>
      <c r="AJ15" s="5">
        <f t="shared" si="21"/>
        <v>0</v>
      </c>
      <c r="AK15" s="6" t="str">
        <f t="shared" si="22"/>
        <v/>
      </c>
      <c r="AL15" s="4"/>
      <c r="AM15" s="4"/>
      <c r="AN15" s="5">
        <f t="shared" si="23"/>
        <v>0</v>
      </c>
      <c r="AO15" s="6" t="str">
        <f t="shared" si="24"/>
        <v/>
      </c>
      <c r="AP15" s="4"/>
      <c r="AQ15" s="4"/>
      <c r="AR15" s="5">
        <f t="shared" si="25"/>
        <v>0</v>
      </c>
      <c r="AS15" s="6" t="str">
        <f t="shared" si="26"/>
        <v/>
      </c>
      <c r="AT15" s="4"/>
      <c r="AU15" s="4"/>
      <c r="AV15" s="5">
        <f t="shared" si="27"/>
        <v>0</v>
      </c>
      <c r="AW15" s="6" t="str">
        <f t="shared" si="28"/>
        <v/>
      </c>
      <c r="AX15" s="77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125"/>
    </row>
    <row r="16" spans="1:67" x14ac:dyDescent="0.25">
      <c r="A16" s="31" t="s">
        <v>46</v>
      </c>
      <c r="B16" s="4"/>
      <c r="C16" s="5">
        <f>208</f>
        <v>208</v>
      </c>
      <c r="D16" s="5">
        <f t="shared" si="5"/>
        <v>-208</v>
      </c>
      <c r="E16" s="6">
        <f t="shared" si="6"/>
        <v>0</v>
      </c>
      <c r="F16" s="4"/>
      <c r="G16" s="5">
        <f>208</f>
        <v>208</v>
      </c>
      <c r="H16" s="5">
        <f t="shared" si="7"/>
        <v>-208</v>
      </c>
      <c r="I16" s="6">
        <f t="shared" si="8"/>
        <v>0</v>
      </c>
      <c r="J16" s="4"/>
      <c r="K16" s="5">
        <f>208</f>
        <v>208</v>
      </c>
      <c r="L16" s="5">
        <f t="shared" si="9"/>
        <v>-208</v>
      </c>
      <c r="M16" s="6">
        <f t="shared" si="10"/>
        <v>0</v>
      </c>
      <c r="N16" s="4"/>
      <c r="O16" s="5">
        <f>208</f>
        <v>208</v>
      </c>
      <c r="P16" s="5">
        <f t="shared" si="11"/>
        <v>-208</v>
      </c>
      <c r="Q16" s="6">
        <f t="shared" si="12"/>
        <v>0</v>
      </c>
      <c r="R16" s="4"/>
      <c r="S16" s="5">
        <f>208</f>
        <v>208</v>
      </c>
      <c r="T16" s="5">
        <f t="shared" si="13"/>
        <v>-208</v>
      </c>
      <c r="U16" s="6">
        <f t="shared" si="14"/>
        <v>0</v>
      </c>
      <c r="V16" s="5">
        <f>275</f>
        <v>275</v>
      </c>
      <c r="W16" s="5">
        <f>208</f>
        <v>208</v>
      </c>
      <c r="X16" s="5">
        <f t="shared" si="15"/>
        <v>67</v>
      </c>
      <c r="Y16" s="6">
        <f t="shared" si="16"/>
        <v>1.3221153846153846</v>
      </c>
      <c r="Z16" s="4"/>
      <c r="AA16" s="5">
        <f>208</f>
        <v>208</v>
      </c>
      <c r="AB16" s="5">
        <f t="shared" si="17"/>
        <v>-208</v>
      </c>
      <c r="AC16" s="6">
        <f t="shared" si="18"/>
        <v>0</v>
      </c>
      <c r="AD16" s="4"/>
      <c r="AE16" s="5">
        <f>208</f>
        <v>208</v>
      </c>
      <c r="AF16" s="5">
        <f t="shared" si="19"/>
        <v>-208</v>
      </c>
      <c r="AG16" s="6">
        <f t="shared" si="20"/>
        <v>0</v>
      </c>
      <c r="AH16" s="4"/>
      <c r="AI16" s="5">
        <f>208</f>
        <v>208</v>
      </c>
      <c r="AJ16" s="5">
        <f t="shared" si="21"/>
        <v>-208</v>
      </c>
      <c r="AK16" s="6">
        <f t="shared" si="22"/>
        <v>0</v>
      </c>
      <c r="AL16" s="4"/>
      <c r="AM16" s="5">
        <f>208</f>
        <v>208</v>
      </c>
      <c r="AN16" s="5">
        <f t="shared" si="23"/>
        <v>-208</v>
      </c>
      <c r="AO16" s="6">
        <f t="shared" si="24"/>
        <v>0</v>
      </c>
      <c r="AP16" s="4"/>
      <c r="AQ16" s="5">
        <f>208</f>
        <v>208</v>
      </c>
      <c r="AR16" s="5">
        <f t="shared" si="25"/>
        <v>-208</v>
      </c>
      <c r="AS16" s="6">
        <f t="shared" si="26"/>
        <v>0</v>
      </c>
      <c r="AT16" s="4"/>
      <c r="AU16" s="5">
        <f>212</f>
        <v>212</v>
      </c>
      <c r="AV16" s="5">
        <f t="shared" si="27"/>
        <v>-212</v>
      </c>
      <c r="AW16" s="6">
        <f t="shared" si="28"/>
        <v>0</v>
      </c>
      <c r="AX16" s="77">
        <v>716</v>
      </c>
      <c r="AY16" s="96">
        <v>6468.5</v>
      </c>
      <c r="AZ16" s="8">
        <v>3600</v>
      </c>
      <c r="BA16" s="8">
        <v>2600</v>
      </c>
      <c r="BB16" s="8">
        <v>4320</v>
      </c>
      <c r="BC16" s="123">
        <v>21372</v>
      </c>
      <c r="BD16" s="123">
        <v>3700</v>
      </c>
      <c r="BE16" s="123">
        <v>10000</v>
      </c>
      <c r="BF16" s="123">
        <v>10000</v>
      </c>
      <c r="BG16" s="123">
        <v>10000</v>
      </c>
      <c r="BH16" s="123">
        <v>10000</v>
      </c>
      <c r="BI16" s="124">
        <v>4100</v>
      </c>
      <c r="BO16" s="121"/>
    </row>
    <row r="17" spans="1:67" x14ac:dyDescent="0.25">
      <c r="A17" s="94" t="s">
        <v>47</v>
      </c>
      <c r="B17" s="33"/>
      <c r="C17" s="34"/>
      <c r="D17" s="34"/>
      <c r="E17" s="35"/>
      <c r="F17" s="33"/>
      <c r="G17" s="34"/>
      <c r="H17" s="34"/>
      <c r="I17" s="35"/>
      <c r="J17" s="33"/>
      <c r="K17" s="34"/>
      <c r="L17" s="34"/>
      <c r="M17" s="35"/>
      <c r="N17" s="33"/>
      <c r="O17" s="34"/>
      <c r="P17" s="34"/>
      <c r="Q17" s="35"/>
      <c r="R17" s="33"/>
      <c r="S17" s="34"/>
      <c r="T17" s="34"/>
      <c r="U17" s="35"/>
      <c r="V17" s="34"/>
      <c r="W17" s="34"/>
      <c r="X17" s="34"/>
      <c r="Y17" s="35"/>
      <c r="Z17" s="33"/>
      <c r="AA17" s="34"/>
      <c r="AB17" s="34"/>
      <c r="AC17" s="35"/>
      <c r="AD17" s="33"/>
      <c r="AE17" s="34"/>
      <c r="AF17" s="34"/>
      <c r="AG17" s="35"/>
      <c r="AH17" s="33"/>
      <c r="AI17" s="34"/>
      <c r="AJ17" s="34"/>
      <c r="AK17" s="35"/>
      <c r="AL17" s="33"/>
      <c r="AM17" s="34"/>
      <c r="AN17" s="34"/>
      <c r="AO17" s="35"/>
      <c r="AP17" s="33"/>
      <c r="AQ17" s="34"/>
      <c r="AR17" s="34"/>
      <c r="AS17" s="35"/>
      <c r="AT17" s="33"/>
      <c r="AU17" s="34"/>
      <c r="AV17" s="34"/>
      <c r="AW17" s="35"/>
      <c r="AX17" s="77">
        <v>315</v>
      </c>
      <c r="AY17" s="97">
        <v>0</v>
      </c>
      <c r="AZ17" s="8">
        <v>1000</v>
      </c>
      <c r="BA17" s="8">
        <v>0</v>
      </c>
      <c r="BB17" s="8">
        <v>1000</v>
      </c>
      <c r="BC17" s="123">
        <v>0</v>
      </c>
      <c r="BD17" s="123">
        <v>1000</v>
      </c>
      <c r="BE17" s="123">
        <v>1050</v>
      </c>
      <c r="BF17" s="123">
        <v>1050</v>
      </c>
      <c r="BG17" s="123">
        <v>2000</v>
      </c>
      <c r="BH17" s="123">
        <v>2000</v>
      </c>
      <c r="BI17" s="124">
        <v>2050</v>
      </c>
      <c r="BO17" s="121"/>
    </row>
    <row r="18" spans="1:67" x14ac:dyDescent="0.25">
      <c r="A18" s="31" t="s">
        <v>48</v>
      </c>
      <c r="B18" s="4"/>
      <c r="C18" s="5">
        <f>3833</f>
        <v>3833</v>
      </c>
      <c r="D18" s="5">
        <f t="shared" si="5"/>
        <v>-3833</v>
      </c>
      <c r="E18" s="6">
        <f t="shared" si="6"/>
        <v>0</v>
      </c>
      <c r="F18" s="4"/>
      <c r="G18" s="5">
        <f>3833</f>
        <v>3833</v>
      </c>
      <c r="H18" s="5">
        <f t="shared" si="7"/>
        <v>-3833</v>
      </c>
      <c r="I18" s="6">
        <f t="shared" si="8"/>
        <v>0</v>
      </c>
      <c r="J18" s="4"/>
      <c r="K18" s="5">
        <f>3833</f>
        <v>3833</v>
      </c>
      <c r="L18" s="5">
        <f t="shared" si="9"/>
        <v>-3833</v>
      </c>
      <c r="M18" s="6">
        <f t="shared" si="10"/>
        <v>0</v>
      </c>
      <c r="N18" s="4"/>
      <c r="O18" s="5">
        <f>3833</f>
        <v>3833</v>
      </c>
      <c r="P18" s="5">
        <f t="shared" si="11"/>
        <v>-3833</v>
      </c>
      <c r="Q18" s="6">
        <f t="shared" si="12"/>
        <v>0</v>
      </c>
      <c r="R18" s="4"/>
      <c r="S18" s="5">
        <f>3833</f>
        <v>3833</v>
      </c>
      <c r="T18" s="5">
        <f t="shared" si="13"/>
        <v>-3833</v>
      </c>
      <c r="U18" s="6">
        <f t="shared" si="14"/>
        <v>0</v>
      </c>
      <c r="V18" s="5">
        <f>8700</f>
        <v>8700</v>
      </c>
      <c r="W18" s="5">
        <f>3833</f>
        <v>3833</v>
      </c>
      <c r="X18" s="5">
        <f t="shared" si="15"/>
        <v>4867</v>
      </c>
      <c r="Y18" s="6">
        <f t="shared" si="16"/>
        <v>2.269762588051135</v>
      </c>
      <c r="Z18" s="4"/>
      <c r="AA18" s="5">
        <f>3833</f>
        <v>3833</v>
      </c>
      <c r="AB18" s="5">
        <f t="shared" si="17"/>
        <v>-3833</v>
      </c>
      <c r="AC18" s="6">
        <f t="shared" si="18"/>
        <v>0</v>
      </c>
      <c r="AD18" s="4"/>
      <c r="AE18" s="5">
        <f>3833</f>
        <v>3833</v>
      </c>
      <c r="AF18" s="5">
        <f t="shared" si="19"/>
        <v>-3833</v>
      </c>
      <c r="AG18" s="6">
        <f t="shared" si="20"/>
        <v>0</v>
      </c>
      <c r="AH18" s="4"/>
      <c r="AI18" s="5">
        <f>3833</f>
        <v>3833</v>
      </c>
      <c r="AJ18" s="5">
        <f t="shared" si="21"/>
        <v>-3833</v>
      </c>
      <c r="AK18" s="6">
        <f t="shared" si="22"/>
        <v>0</v>
      </c>
      <c r="AL18" s="4"/>
      <c r="AM18" s="5">
        <f>3833</f>
        <v>3833</v>
      </c>
      <c r="AN18" s="5">
        <f t="shared" si="23"/>
        <v>-3833</v>
      </c>
      <c r="AO18" s="6">
        <f t="shared" si="24"/>
        <v>0</v>
      </c>
      <c r="AP18" s="4"/>
      <c r="AQ18" s="5">
        <f>3833</f>
        <v>3833</v>
      </c>
      <c r="AR18" s="5">
        <f t="shared" si="25"/>
        <v>-3833</v>
      </c>
      <c r="AS18" s="6">
        <f t="shared" si="26"/>
        <v>0</v>
      </c>
      <c r="AT18" s="4"/>
      <c r="AU18" s="5">
        <f>3837</f>
        <v>3837</v>
      </c>
      <c r="AV18" s="5">
        <f t="shared" si="27"/>
        <v>-3837</v>
      </c>
      <c r="AW18" s="6">
        <f t="shared" si="28"/>
        <v>0</v>
      </c>
      <c r="AX18" s="77">
        <v>26000</v>
      </c>
      <c r="AY18" s="96">
        <v>41720</v>
      </c>
      <c r="AZ18" s="8">
        <v>30000</v>
      </c>
      <c r="BA18" s="8">
        <v>30014.9</v>
      </c>
      <c r="BB18" s="8">
        <v>0</v>
      </c>
      <c r="BC18" s="123">
        <v>0</v>
      </c>
      <c r="BD18" s="123">
        <v>0</v>
      </c>
      <c r="BE18" s="123">
        <v>0</v>
      </c>
      <c r="BF18" s="115">
        <v>0</v>
      </c>
      <c r="BG18" s="115">
        <v>0</v>
      </c>
      <c r="BH18" s="115">
        <v>0</v>
      </c>
      <c r="BI18" s="126">
        <v>0</v>
      </c>
      <c r="BO18" s="121"/>
    </row>
    <row r="19" spans="1:67" x14ac:dyDescent="0.25">
      <c r="A19" s="36" t="s">
        <v>49</v>
      </c>
      <c r="B19" s="33"/>
      <c r="C19" s="33"/>
      <c r="D19" s="34">
        <f t="shared" si="5"/>
        <v>0</v>
      </c>
      <c r="E19" s="35" t="str">
        <f t="shared" si="6"/>
        <v/>
      </c>
      <c r="F19" s="33"/>
      <c r="G19" s="33"/>
      <c r="H19" s="34">
        <f t="shared" si="7"/>
        <v>0</v>
      </c>
      <c r="I19" s="35" t="str">
        <f t="shared" si="8"/>
        <v/>
      </c>
      <c r="J19" s="33"/>
      <c r="K19" s="33"/>
      <c r="L19" s="34">
        <f t="shared" si="9"/>
        <v>0</v>
      </c>
      <c r="M19" s="35" t="str">
        <f t="shared" si="10"/>
        <v/>
      </c>
      <c r="N19" s="33"/>
      <c r="O19" s="33"/>
      <c r="P19" s="34">
        <f t="shared" si="11"/>
        <v>0</v>
      </c>
      <c r="Q19" s="35" t="str">
        <f t="shared" si="12"/>
        <v/>
      </c>
      <c r="R19" s="33"/>
      <c r="S19" s="33"/>
      <c r="T19" s="34">
        <f t="shared" si="13"/>
        <v>0</v>
      </c>
      <c r="U19" s="35" t="str">
        <f t="shared" si="14"/>
        <v/>
      </c>
      <c r="V19" s="34">
        <f>30</f>
        <v>30</v>
      </c>
      <c r="W19" s="33"/>
      <c r="X19" s="34">
        <f t="shared" si="15"/>
        <v>30</v>
      </c>
      <c r="Y19" s="35" t="str">
        <f t="shared" si="16"/>
        <v/>
      </c>
      <c r="Z19" s="33"/>
      <c r="AA19" s="33"/>
      <c r="AB19" s="34">
        <f t="shared" si="17"/>
        <v>0</v>
      </c>
      <c r="AC19" s="35" t="str">
        <f t="shared" si="18"/>
        <v/>
      </c>
      <c r="AD19" s="33"/>
      <c r="AE19" s="33"/>
      <c r="AF19" s="34">
        <f t="shared" si="19"/>
        <v>0</v>
      </c>
      <c r="AG19" s="35" t="str">
        <f t="shared" si="20"/>
        <v/>
      </c>
      <c r="AH19" s="33"/>
      <c r="AI19" s="33"/>
      <c r="AJ19" s="34">
        <f t="shared" si="21"/>
        <v>0</v>
      </c>
      <c r="AK19" s="35" t="str">
        <f t="shared" si="22"/>
        <v/>
      </c>
      <c r="AL19" s="33"/>
      <c r="AM19" s="33"/>
      <c r="AN19" s="34">
        <f t="shared" si="23"/>
        <v>0</v>
      </c>
      <c r="AO19" s="35" t="str">
        <f t="shared" si="24"/>
        <v/>
      </c>
      <c r="AP19" s="33"/>
      <c r="AQ19" s="33"/>
      <c r="AR19" s="34">
        <f t="shared" si="25"/>
        <v>0</v>
      </c>
      <c r="AS19" s="35" t="str">
        <f t="shared" si="26"/>
        <v/>
      </c>
      <c r="AT19" s="33"/>
      <c r="AU19" s="33"/>
      <c r="AV19" s="34">
        <f t="shared" si="27"/>
        <v>0</v>
      </c>
      <c r="AW19" s="35" t="str">
        <f t="shared" si="28"/>
        <v/>
      </c>
      <c r="AX19" s="77">
        <f>30*7</f>
        <v>210</v>
      </c>
      <c r="AY19" s="96">
        <v>330</v>
      </c>
      <c r="AZ19" s="8">
        <f t="shared" ref="AZ19:BB19" si="29">30*12</f>
        <v>360</v>
      </c>
      <c r="BA19" s="8">
        <v>438.18</v>
      </c>
      <c r="BB19" s="8">
        <f t="shared" si="29"/>
        <v>360</v>
      </c>
      <c r="BC19" s="123">
        <v>1606</v>
      </c>
      <c r="BD19" s="123">
        <v>450</v>
      </c>
      <c r="BE19" s="123">
        <v>1950</v>
      </c>
      <c r="BF19" s="123">
        <v>2000</v>
      </c>
      <c r="BG19" s="123">
        <v>2050</v>
      </c>
      <c r="BH19" s="123">
        <v>2100</v>
      </c>
      <c r="BI19" s="124">
        <v>2150</v>
      </c>
      <c r="BO19" s="121"/>
    </row>
    <row r="20" spans="1:67" x14ac:dyDescent="0.25">
      <c r="A20" s="3" t="s">
        <v>24</v>
      </c>
      <c r="B20" s="4"/>
      <c r="C20" s="4"/>
      <c r="D20" s="5">
        <f t="shared" si="5"/>
        <v>0</v>
      </c>
      <c r="E20" s="6" t="str">
        <f t="shared" si="6"/>
        <v/>
      </c>
      <c r="F20" s="4"/>
      <c r="G20" s="4"/>
      <c r="H20" s="5">
        <f t="shared" si="7"/>
        <v>0</v>
      </c>
      <c r="I20" s="6" t="str">
        <f t="shared" si="8"/>
        <v/>
      </c>
      <c r="J20" s="4"/>
      <c r="K20" s="4"/>
      <c r="L20" s="5">
        <f t="shared" si="9"/>
        <v>0</v>
      </c>
      <c r="M20" s="6" t="str">
        <f t="shared" si="10"/>
        <v/>
      </c>
      <c r="N20" s="4"/>
      <c r="O20" s="4"/>
      <c r="P20" s="5">
        <f t="shared" si="11"/>
        <v>0</v>
      </c>
      <c r="Q20" s="6" t="str">
        <f t="shared" si="12"/>
        <v/>
      </c>
      <c r="R20" s="4"/>
      <c r="S20" s="4"/>
      <c r="T20" s="5">
        <f t="shared" si="13"/>
        <v>0</v>
      </c>
      <c r="U20" s="6" t="str">
        <f t="shared" si="14"/>
        <v/>
      </c>
      <c r="V20" s="4"/>
      <c r="W20" s="4"/>
      <c r="X20" s="5">
        <f t="shared" si="15"/>
        <v>0</v>
      </c>
      <c r="Y20" s="6" t="str">
        <f t="shared" si="16"/>
        <v/>
      </c>
      <c r="Z20" s="4"/>
      <c r="AA20" s="4"/>
      <c r="AB20" s="5">
        <f t="shared" si="17"/>
        <v>0</v>
      </c>
      <c r="AC20" s="6" t="str">
        <f t="shared" si="18"/>
        <v/>
      </c>
      <c r="AD20" s="4"/>
      <c r="AE20" s="4"/>
      <c r="AF20" s="5">
        <f t="shared" si="19"/>
        <v>0</v>
      </c>
      <c r="AG20" s="6" t="str">
        <f t="shared" si="20"/>
        <v/>
      </c>
      <c r="AH20" s="4"/>
      <c r="AI20" s="4"/>
      <c r="AJ20" s="5">
        <f t="shared" si="21"/>
        <v>0</v>
      </c>
      <c r="AK20" s="6" t="str">
        <f t="shared" si="22"/>
        <v/>
      </c>
      <c r="AL20" s="4"/>
      <c r="AM20" s="4"/>
      <c r="AN20" s="5">
        <f t="shared" si="23"/>
        <v>0</v>
      </c>
      <c r="AO20" s="6" t="str">
        <f t="shared" si="24"/>
        <v/>
      </c>
      <c r="AP20" s="4"/>
      <c r="AQ20" s="4"/>
      <c r="AR20" s="5">
        <f t="shared" si="25"/>
        <v>0</v>
      </c>
      <c r="AS20" s="6" t="str">
        <f t="shared" si="26"/>
        <v/>
      </c>
      <c r="AT20" s="4"/>
      <c r="AU20" s="4"/>
      <c r="AV20" s="5">
        <f t="shared" si="27"/>
        <v>0</v>
      </c>
      <c r="AW20" s="6" t="str">
        <f t="shared" si="28"/>
        <v/>
      </c>
      <c r="AX20" s="77"/>
      <c r="AY20" s="96"/>
      <c r="AZ20" s="8"/>
      <c r="BA20" s="8"/>
      <c r="BB20" s="8"/>
      <c r="BC20" s="123"/>
      <c r="BD20" s="123"/>
      <c r="BE20" s="123"/>
      <c r="BF20" s="69"/>
      <c r="BG20" s="69"/>
      <c r="BH20" s="69"/>
      <c r="BI20" s="125"/>
      <c r="BO20" s="121"/>
    </row>
    <row r="21" spans="1:67" x14ac:dyDescent="0.25">
      <c r="A21" s="31" t="s">
        <v>50</v>
      </c>
      <c r="B21" s="4"/>
      <c r="C21" s="5">
        <f>203</f>
        <v>203</v>
      </c>
      <c r="D21" s="5">
        <f t="shared" si="5"/>
        <v>-203</v>
      </c>
      <c r="E21" s="6">
        <f t="shared" si="6"/>
        <v>0</v>
      </c>
      <c r="F21" s="4"/>
      <c r="G21" s="5">
        <f>203</f>
        <v>203</v>
      </c>
      <c r="H21" s="5">
        <f t="shared" si="7"/>
        <v>-203</v>
      </c>
      <c r="I21" s="6">
        <f t="shared" si="8"/>
        <v>0</v>
      </c>
      <c r="J21" s="5">
        <f>2885</f>
        <v>2885</v>
      </c>
      <c r="K21" s="5">
        <f>203</f>
        <v>203</v>
      </c>
      <c r="L21" s="5">
        <f t="shared" si="9"/>
        <v>2682</v>
      </c>
      <c r="M21" s="6">
        <f t="shared" si="10"/>
        <v>14.211822660098521</v>
      </c>
      <c r="N21" s="4"/>
      <c r="O21" s="5">
        <f>203</f>
        <v>203</v>
      </c>
      <c r="P21" s="5">
        <f t="shared" si="11"/>
        <v>-203</v>
      </c>
      <c r="Q21" s="6">
        <f t="shared" si="12"/>
        <v>0</v>
      </c>
      <c r="R21" s="4"/>
      <c r="S21" s="5">
        <f>203</f>
        <v>203</v>
      </c>
      <c r="T21" s="5">
        <f t="shared" si="13"/>
        <v>-203</v>
      </c>
      <c r="U21" s="6">
        <f t="shared" si="14"/>
        <v>0</v>
      </c>
      <c r="V21" s="4"/>
      <c r="W21" s="5">
        <f>203</f>
        <v>203</v>
      </c>
      <c r="X21" s="5">
        <f t="shared" si="15"/>
        <v>-203</v>
      </c>
      <c r="Y21" s="6">
        <f t="shared" si="16"/>
        <v>0</v>
      </c>
      <c r="Z21" s="4"/>
      <c r="AA21" s="5">
        <f>203</f>
        <v>203</v>
      </c>
      <c r="AB21" s="5">
        <f t="shared" si="17"/>
        <v>-203</v>
      </c>
      <c r="AC21" s="6">
        <f t="shared" si="18"/>
        <v>0</v>
      </c>
      <c r="AD21" s="4"/>
      <c r="AE21" s="5">
        <f>203</f>
        <v>203</v>
      </c>
      <c r="AF21" s="5">
        <f t="shared" si="19"/>
        <v>-203</v>
      </c>
      <c r="AG21" s="6">
        <f t="shared" si="20"/>
        <v>0</v>
      </c>
      <c r="AH21" s="4"/>
      <c r="AI21" s="5">
        <f>203</f>
        <v>203</v>
      </c>
      <c r="AJ21" s="5">
        <f t="shared" si="21"/>
        <v>-203</v>
      </c>
      <c r="AK21" s="6">
        <f t="shared" si="22"/>
        <v>0</v>
      </c>
      <c r="AL21" s="4"/>
      <c r="AM21" s="5">
        <f>203</f>
        <v>203</v>
      </c>
      <c r="AN21" s="5">
        <f t="shared" si="23"/>
        <v>-203</v>
      </c>
      <c r="AO21" s="6">
        <f t="shared" si="24"/>
        <v>0</v>
      </c>
      <c r="AP21" s="4"/>
      <c r="AQ21" s="5">
        <f>203</f>
        <v>203</v>
      </c>
      <c r="AR21" s="5">
        <f t="shared" si="25"/>
        <v>-203</v>
      </c>
      <c r="AS21" s="6">
        <f t="shared" si="26"/>
        <v>0</v>
      </c>
      <c r="AT21" s="4"/>
      <c r="AU21" s="5">
        <f>212</f>
        <v>212</v>
      </c>
      <c r="AV21" s="5">
        <f t="shared" si="27"/>
        <v>-212</v>
      </c>
      <c r="AW21" s="6">
        <f t="shared" si="28"/>
        <v>0</v>
      </c>
      <c r="AX21" s="77">
        <v>2885</v>
      </c>
      <c r="AY21" s="96">
        <v>3015</v>
      </c>
      <c r="AZ21" s="8">
        <v>2885</v>
      </c>
      <c r="BA21" s="8">
        <v>3015</v>
      </c>
      <c r="BB21" s="9">
        <v>3015</v>
      </c>
      <c r="BC21" s="123">
        <v>3015</v>
      </c>
      <c r="BD21" s="123">
        <v>3250</v>
      </c>
      <c r="BE21" s="123">
        <v>3250</v>
      </c>
      <c r="BF21" s="115">
        <v>3350</v>
      </c>
      <c r="BG21" s="115">
        <v>3375</v>
      </c>
      <c r="BH21" s="115">
        <v>3450</v>
      </c>
      <c r="BI21" s="126">
        <v>3450</v>
      </c>
      <c r="BO21" s="121"/>
    </row>
    <row r="22" spans="1:67" x14ac:dyDescent="0.25">
      <c r="A22" s="31" t="s">
        <v>51</v>
      </c>
      <c r="B22" s="4"/>
      <c r="C22" s="5"/>
      <c r="D22" s="5"/>
      <c r="E22" s="6"/>
      <c r="F22" s="4"/>
      <c r="G22" s="5"/>
      <c r="H22" s="5"/>
      <c r="I22" s="6"/>
      <c r="J22" s="5"/>
      <c r="K22" s="5"/>
      <c r="L22" s="5"/>
      <c r="M22" s="6"/>
      <c r="N22" s="4"/>
      <c r="O22" s="5"/>
      <c r="P22" s="5"/>
      <c r="Q22" s="6"/>
      <c r="R22" s="4"/>
      <c r="S22" s="5"/>
      <c r="T22" s="5"/>
      <c r="U22" s="6"/>
      <c r="V22" s="4"/>
      <c r="W22" s="5"/>
      <c r="X22" s="5"/>
      <c r="Y22" s="6"/>
      <c r="Z22" s="4"/>
      <c r="AA22" s="5"/>
      <c r="AB22" s="5"/>
      <c r="AC22" s="6"/>
      <c r="AD22" s="4"/>
      <c r="AE22" s="5"/>
      <c r="AF22" s="5"/>
      <c r="AG22" s="6"/>
      <c r="AH22" s="4"/>
      <c r="AI22" s="5"/>
      <c r="AJ22" s="5"/>
      <c r="AK22" s="6"/>
      <c r="AL22" s="4"/>
      <c r="AM22" s="5"/>
      <c r="AN22" s="5"/>
      <c r="AO22" s="6"/>
      <c r="AP22" s="4"/>
      <c r="AQ22" s="5"/>
      <c r="AR22" s="5"/>
      <c r="AS22" s="6"/>
      <c r="AT22" s="4"/>
      <c r="AU22" s="5"/>
      <c r="AV22" s="5"/>
      <c r="AW22" s="6"/>
      <c r="AX22" s="77">
        <v>0</v>
      </c>
      <c r="AY22" s="96">
        <v>870</v>
      </c>
      <c r="AZ22" s="8">
        <v>4000</v>
      </c>
      <c r="BA22" s="8">
        <v>0</v>
      </c>
      <c r="BB22" s="8">
        <v>3500</v>
      </c>
      <c r="BC22" s="123">
        <v>810</v>
      </c>
      <c r="BD22" s="123">
        <v>1550</v>
      </c>
      <c r="BE22" s="123">
        <v>1625</v>
      </c>
      <c r="BF22" s="123">
        <v>1675</v>
      </c>
      <c r="BG22" s="123">
        <v>1700</v>
      </c>
      <c r="BH22" s="123">
        <v>1750</v>
      </c>
      <c r="BI22" s="126">
        <v>1800</v>
      </c>
      <c r="BO22" s="121"/>
    </row>
    <row r="23" spans="1:67" x14ac:dyDescent="0.25">
      <c r="A23" s="3" t="s">
        <v>25</v>
      </c>
      <c r="B23" s="4"/>
      <c r="C23" s="4"/>
      <c r="D23" s="5">
        <f t="shared" si="5"/>
        <v>0</v>
      </c>
      <c r="E23" s="6" t="str">
        <f t="shared" si="6"/>
        <v/>
      </c>
      <c r="F23" s="4"/>
      <c r="G23" s="4"/>
      <c r="H23" s="5">
        <f t="shared" si="7"/>
        <v>0</v>
      </c>
      <c r="I23" s="6" t="str">
        <f t="shared" si="8"/>
        <v/>
      </c>
      <c r="J23" s="4"/>
      <c r="K23" s="4"/>
      <c r="L23" s="5">
        <f t="shared" si="9"/>
        <v>0</v>
      </c>
      <c r="M23" s="6" t="str">
        <f t="shared" si="10"/>
        <v/>
      </c>
      <c r="N23" s="4"/>
      <c r="O23" s="4"/>
      <c r="P23" s="5">
        <f t="shared" si="11"/>
        <v>0</v>
      </c>
      <c r="Q23" s="6" t="str">
        <f t="shared" si="12"/>
        <v/>
      </c>
      <c r="R23" s="4"/>
      <c r="S23" s="4"/>
      <c r="T23" s="5">
        <f t="shared" si="13"/>
        <v>0</v>
      </c>
      <c r="U23" s="6" t="str">
        <f t="shared" si="14"/>
        <v/>
      </c>
      <c r="V23" s="4"/>
      <c r="W23" s="4"/>
      <c r="X23" s="5">
        <f t="shared" si="15"/>
        <v>0</v>
      </c>
      <c r="Y23" s="6" t="str">
        <f t="shared" si="16"/>
        <v/>
      </c>
      <c r="Z23" s="4"/>
      <c r="AA23" s="4"/>
      <c r="AB23" s="5">
        <f t="shared" si="17"/>
        <v>0</v>
      </c>
      <c r="AC23" s="6" t="str">
        <f t="shared" si="18"/>
        <v/>
      </c>
      <c r="AD23" s="4"/>
      <c r="AE23" s="4"/>
      <c r="AF23" s="5">
        <f t="shared" si="19"/>
        <v>0</v>
      </c>
      <c r="AG23" s="6" t="str">
        <f t="shared" si="20"/>
        <v/>
      </c>
      <c r="AH23" s="4"/>
      <c r="AI23" s="4"/>
      <c r="AJ23" s="5">
        <f t="shared" si="21"/>
        <v>0</v>
      </c>
      <c r="AK23" s="6" t="str">
        <f t="shared" si="22"/>
        <v/>
      </c>
      <c r="AL23" s="4"/>
      <c r="AM23" s="4"/>
      <c r="AN23" s="5">
        <f t="shared" si="23"/>
        <v>0</v>
      </c>
      <c r="AO23" s="6" t="str">
        <f t="shared" si="24"/>
        <v/>
      </c>
      <c r="AP23" s="4"/>
      <c r="AQ23" s="4"/>
      <c r="AR23" s="5">
        <f t="shared" si="25"/>
        <v>0</v>
      </c>
      <c r="AS23" s="6" t="str">
        <f t="shared" si="26"/>
        <v/>
      </c>
      <c r="AT23" s="4"/>
      <c r="AU23" s="4"/>
      <c r="AV23" s="5">
        <f t="shared" si="27"/>
        <v>0</v>
      </c>
      <c r="AW23" s="6" t="str">
        <f t="shared" si="28"/>
        <v/>
      </c>
      <c r="AX23" s="77"/>
      <c r="AY23" s="8"/>
      <c r="AZ23" s="8"/>
      <c r="BA23" s="8"/>
      <c r="BB23" s="8"/>
      <c r="BC23" s="123"/>
      <c r="BD23" s="123"/>
      <c r="BE23" s="123"/>
      <c r="BF23" s="93"/>
      <c r="BG23" s="93"/>
      <c r="BH23" s="93"/>
      <c r="BI23" s="125"/>
      <c r="BO23" s="122"/>
    </row>
    <row r="24" spans="1:67" x14ac:dyDescent="0.25">
      <c r="A24" s="31" t="s">
        <v>52</v>
      </c>
      <c r="B24" s="5">
        <f>215.39</f>
        <v>215.39</v>
      </c>
      <c r="C24" s="5">
        <f>216</f>
        <v>216</v>
      </c>
      <c r="D24" s="5">
        <f t="shared" si="5"/>
        <v>-0.61000000000001364</v>
      </c>
      <c r="E24" s="6">
        <f t="shared" si="6"/>
        <v>0.99717592592592585</v>
      </c>
      <c r="F24" s="5">
        <f>200.55</f>
        <v>200.55</v>
      </c>
      <c r="G24" s="5">
        <f>216</f>
        <v>216</v>
      </c>
      <c r="H24" s="5">
        <f t="shared" si="7"/>
        <v>-15.449999999999989</v>
      </c>
      <c r="I24" s="6">
        <f t="shared" si="8"/>
        <v>0.92847222222222225</v>
      </c>
      <c r="J24" s="4"/>
      <c r="K24" s="5">
        <f>216</f>
        <v>216</v>
      </c>
      <c r="L24" s="5">
        <f t="shared" si="9"/>
        <v>-216</v>
      </c>
      <c r="M24" s="6">
        <f t="shared" si="10"/>
        <v>0</v>
      </c>
      <c r="N24" s="5">
        <f>374.07</f>
        <v>374.07</v>
      </c>
      <c r="O24" s="5">
        <f>216</f>
        <v>216</v>
      </c>
      <c r="P24" s="5">
        <f t="shared" si="11"/>
        <v>158.07</v>
      </c>
      <c r="Q24" s="6">
        <f t="shared" si="12"/>
        <v>1.7318055555555556</v>
      </c>
      <c r="R24" s="5">
        <f>159.5</f>
        <v>159.5</v>
      </c>
      <c r="S24" s="5">
        <f>216</f>
        <v>216</v>
      </c>
      <c r="T24" s="5">
        <f t="shared" si="13"/>
        <v>-56.5</v>
      </c>
      <c r="U24" s="6">
        <f t="shared" si="14"/>
        <v>0.73842592592592593</v>
      </c>
      <c r="V24" s="4"/>
      <c r="W24" s="5">
        <f>216</f>
        <v>216</v>
      </c>
      <c r="X24" s="5">
        <f t="shared" si="15"/>
        <v>-216</v>
      </c>
      <c r="Y24" s="6">
        <f t="shared" si="16"/>
        <v>0</v>
      </c>
      <c r="Z24" s="4"/>
      <c r="AA24" s="5">
        <f>216</f>
        <v>216</v>
      </c>
      <c r="AB24" s="5">
        <f t="shared" si="17"/>
        <v>-216</v>
      </c>
      <c r="AC24" s="6">
        <f t="shared" si="18"/>
        <v>0</v>
      </c>
      <c r="AD24" s="4"/>
      <c r="AE24" s="5">
        <f>216</f>
        <v>216</v>
      </c>
      <c r="AF24" s="5">
        <f t="shared" si="19"/>
        <v>-216</v>
      </c>
      <c r="AG24" s="6">
        <f t="shared" si="20"/>
        <v>0</v>
      </c>
      <c r="AH24" s="4"/>
      <c r="AI24" s="5">
        <f>216</f>
        <v>216</v>
      </c>
      <c r="AJ24" s="5">
        <f t="shared" si="21"/>
        <v>-216</v>
      </c>
      <c r="AK24" s="6">
        <f t="shared" si="22"/>
        <v>0</v>
      </c>
      <c r="AL24" s="4"/>
      <c r="AM24" s="5">
        <f>216</f>
        <v>216</v>
      </c>
      <c r="AN24" s="5">
        <f t="shared" si="23"/>
        <v>-216</v>
      </c>
      <c r="AO24" s="6">
        <f t="shared" si="24"/>
        <v>0</v>
      </c>
      <c r="AP24" s="4"/>
      <c r="AQ24" s="5">
        <f>216</f>
        <v>216</v>
      </c>
      <c r="AR24" s="5">
        <f t="shared" si="25"/>
        <v>-216</v>
      </c>
      <c r="AS24" s="6">
        <f t="shared" si="26"/>
        <v>0</v>
      </c>
      <c r="AT24" s="4"/>
      <c r="AU24" s="5">
        <f>224</f>
        <v>224</v>
      </c>
      <c r="AV24" s="5">
        <f t="shared" si="27"/>
        <v>-224</v>
      </c>
      <c r="AW24" s="6">
        <f t="shared" si="28"/>
        <v>0</v>
      </c>
      <c r="AX24" s="77">
        <v>1863</v>
      </c>
      <c r="AY24" s="96">
        <v>1737.92</v>
      </c>
      <c r="AZ24" s="8">
        <v>2600</v>
      </c>
      <c r="BA24" s="8">
        <v>1505.16</v>
      </c>
      <c r="BB24" s="8">
        <v>2600</v>
      </c>
      <c r="BC24" s="123">
        <v>3749</v>
      </c>
      <c r="BD24" s="123">
        <v>3000</v>
      </c>
      <c r="BE24" s="123">
        <v>3850</v>
      </c>
      <c r="BF24" s="123">
        <v>4000</v>
      </c>
      <c r="BG24" s="123">
        <v>4200</v>
      </c>
      <c r="BH24" s="123">
        <f>+BG24*1.05</f>
        <v>4410</v>
      </c>
      <c r="BI24" s="126">
        <v>3475</v>
      </c>
      <c r="BO24" s="121"/>
    </row>
    <row r="25" spans="1:67" x14ac:dyDescent="0.25">
      <c r="A25" s="31" t="s">
        <v>53</v>
      </c>
      <c r="B25" s="5">
        <f>10.34</f>
        <v>10.34</v>
      </c>
      <c r="C25" s="5">
        <f>75</f>
        <v>75</v>
      </c>
      <c r="D25" s="5">
        <f t="shared" si="5"/>
        <v>-64.66</v>
      </c>
      <c r="E25" s="6">
        <f t="shared" si="6"/>
        <v>0.13786666666666667</v>
      </c>
      <c r="F25" s="5">
        <f>10.22</f>
        <v>10.220000000000001</v>
      </c>
      <c r="G25" s="5">
        <f>75</f>
        <v>75</v>
      </c>
      <c r="H25" s="5">
        <f t="shared" si="7"/>
        <v>-64.78</v>
      </c>
      <c r="I25" s="6">
        <f t="shared" si="8"/>
        <v>0.13626666666666667</v>
      </c>
      <c r="J25" s="4"/>
      <c r="K25" s="5">
        <f>75</f>
        <v>75</v>
      </c>
      <c r="L25" s="5">
        <f t="shared" si="9"/>
        <v>-75</v>
      </c>
      <c r="M25" s="6">
        <f t="shared" si="10"/>
        <v>0</v>
      </c>
      <c r="N25" s="5">
        <f>20.2</f>
        <v>20.2</v>
      </c>
      <c r="O25" s="5">
        <f>75</f>
        <v>75</v>
      </c>
      <c r="P25" s="5">
        <f t="shared" si="11"/>
        <v>-54.8</v>
      </c>
      <c r="Q25" s="6">
        <f t="shared" si="12"/>
        <v>0.26933333333333331</v>
      </c>
      <c r="R25" s="5">
        <f>43.51</f>
        <v>43.51</v>
      </c>
      <c r="S25" s="5">
        <f>75</f>
        <v>75</v>
      </c>
      <c r="T25" s="5">
        <f t="shared" si="13"/>
        <v>-31.490000000000002</v>
      </c>
      <c r="U25" s="6">
        <f t="shared" si="14"/>
        <v>0.58013333333333328</v>
      </c>
      <c r="V25" s="4"/>
      <c r="W25" s="5">
        <f>75</f>
        <v>75</v>
      </c>
      <c r="X25" s="5">
        <f t="shared" si="15"/>
        <v>-75</v>
      </c>
      <c r="Y25" s="6">
        <f t="shared" si="16"/>
        <v>0</v>
      </c>
      <c r="Z25" s="4"/>
      <c r="AA25" s="5">
        <f>75</f>
        <v>75</v>
      </c>
      <c r="AB25" s="5">
        <f t="shared" si="17"/>
        <v>-75</v>
      </c>
      <c r="AC25" s="6">
        <f t="shared" si="18"/>
        <v>0</v>
      </c>
      <c r="AD25" s="4"/>
      <c r="AE25" s="5">
        <f>75</f>
        <v>75</v>
      </c>
      <c r="AF25" s="5">
        <f t="shared" si="19"/>
        <v>-75</v>
      </c>
      <c r="AG25" s="6">
        <f t="shared" si="20"/>
        <v>0</v>
      </c>
      <c r="AH25" s="4"/>
      <c r="AI25" s="5">
        <f>75</f>
        <v>75</v>
      </c>
      <c r="AJ25" s="5">
        <f t="shared" si="21"/>
        <v>-75</v>
      </c>
      <c r="AK25" s="6">
        <f t="shared" si="22"/>
        <v>0</v>
      </c>
      <c r="AL25" s="4"/>
      <c r="AM25" s="5">
        <f>75</f>
        <v>75</v>
      </c>
      <c r="AN25" s="5">
        <f t="shared" si="23"/>
        <v>-75</v>
      </c>
      <c r="AO25" s="6">
        <f t="shared" si="24"/>
        <v>0</v>
      </c>
      <c r="AP25" s="4"/>
      <c r="AQ25" s="5">
        <f>75</f>
        <v>75</v>
      </c>
      <c r="AR25" s="5">
        <f t="shared" si="25"/>
        <v>-75</v>
      </c>
      <c r="AS25" s="6">
        <f t="shared" si="26"/>
        <v>0</v>
      </c>
      <c r="AT25" s="4"/>
      <c r="AU25" s="5">
        <f>75</f>
        <v>75</v>
      </c>
      <c r="AV25" s="5">
        <f t="shared" si="27"/>
        <v>-75</v>
      </c>
      <c r="AW25" s="6">
        <f t="shared" si="28"/>
        <v>0</v>
      </c>
      <c r="AX25" s="77">
        <v>699</v>
      </c>
      <c r="AY25" s="96">
        <v>740.41</v>
      </c>
      <c r="AZ25" s="8">
        <v>900</v>
      </c>
      <c r="BA25" s="8">
        <v>691.25</v>
      </c>
      <c r="BB25" s="8">
        <v>900</v>
      </c>
      <c r="BC25" s="123">
        <v>1075</v>
      </c>
      <c r="BD25" s="123">
        <v>850</v>
      </c>
      <c r="BE25" s="123">
        <v>1100</v>
      </c>
      <c r="BF25" s="123">
        <f>+BE25*1.05</f>
        <v>1155</v>
      </c>
      <c r="BG25" s="123">
        <f>+BF25*1.05</f>
        <v>1212.75</v>
      </c>
      <c r="BH25" s="123">
        <f>+BG25*1.05</f>
        <v>1273.3875</v>
      </c>
      <c r="BI25" s="126">
        <v>1000</v>
      </c>
      <c r="BO25" s="121"/>
    </row>
    <row r="26" spans="1:67" x14ac:dyDescent="0.25">
      <c r="A26" s="31" t="s">
        <v>54</v>
      </c>
      <c r="B26" s="5">
        <f>8.77</f>
        <v>8.77</v>
      </c>
      <c r="C26" s="5">
        <f>20</f>
        <v>20</v>
      </c>
      <c r="D26" s="5">
        <f t="shared" si="5"/>
        <v>-11.23</v>
      </c>
      <c r="E26" s="6">
        <f t="shared" si="6"/>
        <v>0.4385</v>
      </c>
      <c r="F26" s="5">
        <f>8.77</f>
        <v>8.77</v>
      </c>
      <c r="G26" s="5">
        <f>20</f>
        <v>20</v>
      </c>
      <c r="H26" s="5">
        <f t="shared" si="7"/>
        <v>-11.23</v>
      </c>
      <c r="I26" s="6">
        <f t="shared" si="8"/>
        <v>0.4385</v>
      </c>
      <c r="J26" s="4"/>
      <c r="K26" s="5">
        <f>20</f>
        <v>20</v>
      </c>
      <c r="L26" s="5">
        <f t="shared" si="9"/>
        <v>-20</v>
      </c>
      <c r="M26" s="6">
        <f t="shared" si="10"/>
        <v>0</v>
      </c>
      <c r="N26" s="5">
        <f>17.54</f>
        <v>17.54</v>
      </c>
      <c r="O26" s="5">
        <f>20</f>
        <v>20</v>
      </c>
      <c r="P26" s="5">
        <f t="shared" si="11"/>
        <v>-2.4600000000000009</v>
      </c>
      <c r="Q26" s="6">
        <f t="shared" si="12"/>
        <v>0.877</v>
      </c>
      <c r="R26" s="5">
        <f>8.89</f>
        <v>8.89</v>
      </c>
      <c r="S26" s="5">
        <f>20</f>
        <v>20</v>
      </c>
      <c r="T26" s="5">
        <f t="shared" si="13"/>
        <v>-11.11</v>
      </c>
      <c r="U26" s="6">
        <f t="shared" si="14"/>
        <v>0.44450000000000001</v>
      </c>
      <c r="V26" s="4"/>
      <c r="W26" s="5">
        <f>20</f>
        <v>20</v>
      </c>
      <c r="X26" s="5">
        <f t="shared" si="15"/>
        <v>-20</v>
      </c>
      <c r="Y26" s="6">
        <f t="shared" si="16"/>
        <v>0</v>
      </c>
      <c r="Z26" s="4"/>
      <c r="AA26" s="5">
        <f>20</f>
        <v>20</v>
      </c>
      <c r="AB26" s="5">
        <f t="shared" si="17"/>
        <v>-20</v>
      </c>
      <c r="AC26" s="6">
        <f t="shared" si="18"/>
        <v>0</v>
      </c>
      <c r="AD26" s="4"/>
      <c r="AE26" s="5">
        <f>20</f>
        <v>20</v>
      </c>
      <c r="AF26" s="5">
        <f t="shared" si="19"/>
        <v>-20</v>
      </c>
      <c r="AG26" s="6">
        <f t="shared" si="20"/>
        <v>0</v>
      </c>
      <c r="AH26" s="4"/>
      <c r="AI26" s="5">
        <f>20</f>
        <v>20</v>
      </c>
      <c r="AJ26" s="5">
        <f t="shared" si="21"/>
        <v>-20</v>
      </c>
      <c r="AK26" s="6">
        <f t="shared" si="22"/>
        <v>0</v>
      </c>
      <c r="AL26" s="4"/>
      <c r="AM26" s="5">
        <f>20</f>
        <v>20</v>
      </c>
      <c r="AN26" s="5">
        <f t="shared" si="23"/>
        <v>-20</v>
      </c>
      <c r="AO26" s="6">
        <f t="shared" si="24"/>
        <v>0</v>
      </c>
      <c r="AP26" s="4"/>
      <c r="AQ26" s="5">
        <f>20</f>
        <v>20</v>
      </c>
      <c r="AR26" s="5">
        <f t="shared" si="25"/>
        <v>-20</v>
      </c>
      <c r="AS26" s="6">
        <f t="shared" si="26"/>
        <v>0</v>
      </c>
      <c r="AT26" s="4"/>
      <c r="AU26" s="5">
        <f>30</f>
        <v>30</v>
      </c>
      <c r="AV26" s="5">
        <f t="shared" si="27"/>
        <v>-30</v>
      </c>
      <c r="AW26" s="6">
        <f t="shared" si="28"/>
        <v>0</v>
      </c>
      <c r="AX26" s="77">
        <v>104</v>
      </c>
      <c r="AY26" s="96">
        <v>238.97</v>
      </c>
      <c r="AZ26" s="8">
        <v>150</v>
      </c>
      <c r="BA26" s="8">
        <v>223.97</v>
      </c>
      <c r="BB26" s="8">
        <v>250</v>
      </c>
      <c r="BC26" s="123">
        <v>307</v>
      </c>
      <c r="BD26" s="123">
        <v>250</v>
      </c>
      <c r="BE26" s="123">
        <v>350</v>
      </c>
      <c r="BF26" s="123">
        <v>375</v>
      </c>
      <c r="BG26" s="123">
        <v>400</v>
      </c>
      <c r="BH26" s="123">
        <v>425</v>
      </c>
      <c r="BI26" s="126">
        <v>350</v>
      </c>
      <c r="BO26" s="121"/>
    </row>
    <row r="27" spans="1:67" x14ac:dyDescent="0.25">
      <c r="A27" s="31" t="s">
        <v>55</v>
      </c>
      <c r="B27" s="5">
        <f>8.66</f>
        <v>8.66</v>
      </c>
      <c r="C27" s="5">
        <f>20</f>
        <v>20</v>
      </c>
      <c r="D27" s="5">
        <f t="shared" si="5"/>
        <v>-11.34</v>
      </c>
      <c r="E27" s="6">
        <f t="shared" si="6"/>
        <v>0.433</v>
      </c>
      <c r="F27" s="5">
        <f>8.77</f>
        <v>8.77</v>
      </c>
      <c r="G27" s="5">
        <f>20</f>
        <v>20</v>
      </c>
      <c r="H27" s="5">
        <f t="shared" si="7"/>
        <v>-11.23</v>
      </c>
      <c r="I27" s="6">
        <f t="shared" si="8"/>
        <v>0.4385</v>
      </c>
      <c r="J27" s="4"/>
      <c r="K27" s="5">
        <f>20</f>
        <v>20</v>
      </c>
      <c r="L27" s="5">
        <f t="shared" si="9"/>
        <v>-20</v>
      </c>
      <c r="M27" s="6">
        <f t="shared" si="10"/>
        <v>0</v>
      </c>
      <c r="N27" s="5">
        <f>17.66</f>
        <v>17.66</v>
      </c>
      <c r="O27" s="5">
        <f>20</f>
        <v>20</v>
      </c>
      <c r="P27" s="5">
        <f t="shared" si="11"/>
        <v>-2.34</v>
      </c>
      <c r="Q27" s="6">
        <f t="shared" si="12"/>
        <v>0.88300000000000001</v>
      </c>
      <c r="R27" s="5">
        <f>9.25</f>
        <v>9.25</v>
      </c>
      <c r="S27" s="5">
        <f>20</f>
        <v>20</v>
      </c>
      <c r="T27" s="5">
        <f t="shared" si="13"/>
        <v>-10.75</v>
      </c>
      <c r="U27" s="6">
        <f t="shared" si="14"/>
        <v>0.46250000000000002</v>
      </c>
      <c r="V27" s="4"/>
      <c r="W27" s="5">
        <f>20</f>
        <v>20</v>
      </c>
      <c r="X27" s="5">
        <f t="shared" si="15"/>
        <v>-20</v>
      </c>
      <c r="Y27" s="6">
        <f t="shared" si="16"/>
        <v>0</v>
      </c>
      <c r="Z27" s="4"/>
      <c r="AA27" s="5">
        <f>20</f>
        <v>20</v>
      </c>
      <c r="AB27" s="5">
        <f t="shared" si="17"/>
        <v>-20</v>
      </c>
      <c r="AC27" s="6">
        <f t="shared" si="18"/>
        <v>0</v>
      </c>
      <c r="AD27" s="4"/>
      <c r="AE27" s="5">
        <f>20</f>
        <v>20</v>
      </c>
      <c r="AF27" s="5">
        <f t="shared" si="19"/>
        <v>-20</v>
      </c>
      <c r="AG27" s="6">
        <f t="shared" si="20"/>
        <v>0</v>
      </c>
      <c r="AH27" s="4"/>
      <c r="AI27" s="5">
        <f>20</f>
        <v>20</v>
      </c>
      <c r="AJ27" s="5">
        <f t="shared" si="21"/>
        <v>-20</v>
      </c>
      <c r="AK27" s="6">
        <f t="shared" si="22"/>
        <v>0</v>
      </c>
      <c r="AL27" s="4"/>
      <c r="AM27" s="5">
        <f>20</f>
        <v>20</v>
      </c>
      <c r="AN27" s="5">
        <f t="shared" si="23"/>
        <v>-20</v>
      </c>
      <c r="AO27" s="6">
        <f t="shared" si="24"/>
        <v>0</v>
      </c>
      <c r="AP27" s="4"/>
      <c r="AQ27" s="5">
        <f>20</f>
        <v>20</v>
      </c>
      <c r="AR27" s="5">
        <f t="shared" si="25"/>
        <v>-20</v>
      </c>
      <c r="AS27" s="6">
        <f t="shared" si="26"/>
        <v>0</v>
      </c>
      <c r="AT27" s="4"/>
      <c r="AU27" s="5">
        <f>30</f>
        <v>30</v>
      </c>
      <c r="AV27" s="5">
        <f t="shared" si="27"/>
        <v>-30</v>
      </c>
      <c r="AW27" s="6">
        <f t="shared" si="28"/>
        <v>0</v>
      </c>
      <c r="AX27" s="77">
        <v>101</v>
      </c>
      <c r="AY27" s="96">
        <v>242.68</v>
      </c>
      <c r="AZ27" s="8">
        <v>150</v>
      </c>
      <c r="BA27" s="8">
        <v>242.61</v>
      </c>
      <c r="BB27" s="8">
        <v>250</v>
      </c>
      <c r="BC27" s="123">
        <v>283</v>
      </c>
      <c r="BD27" s="123">
        <v>250</v>
      </c>
      <c r="BE27" s="123">
        <v>300</v>
      </c>
      <c r="BF27" s="123">
        <v>315</v>
      </c>
      <c r="BG27" s="123">
        <v>330</v>
      </c>
      <c r="BH27" s="123">
        <v>350</v>
      </c>
      <c r="BI27" s="126">
        <v>350</v>
      </c>
      <c r="BO27" s="121"/>
    </row>
    <row r="28" spans="1:67" x14ac:dyDescent="0.25">
      <c r="A28" s="3" t="s">
        <v>26</v>
      </c>
      <c r="B28" s="4"/>
      <c r="C28" s="5">
        <f>41</f>
        <v>41</v>
      </c>
      <c r="D28" s="5">
        <f t="shared" si="5"/>
        <v>-41</v>
      </c>
      <c r="E28" s="6">
        <f t="shared" si="6"/>
        <v>0</v>
      </c>
      <c r="F28" s="4"/>
      <c r="G28" s="5">
        <f>41</f>
        <v>41</v>
      </c>
      <c r="H28" s="5">
        <f t="shared" si="7"/>
        <v>-41</v>
      </c>
      <c r="I28" s="6">
        <f t="shared" si="8"/>
        <v>0</v>
      </c>
      <c r="J28" s="4"/>
      <c r="K28" s="5">
        <f>41</f>
        <v>41</v>
      </c>
      <c r="L28" s="5">
        <f t="shared" si="9"/>
        <v>-41</v>
      </c>
      <c r="M28" s="6">
        <f t="shared" si="10"/>
        <v>0</v>
      </c>
      <c r="N28" s="4"/>
      <c r="O28" s="5">
        <f>41</f>
        <v>41</v>
      </c>
      <c r="P28" s="5">
        <f t="shared" si="11"/>
        <v>-41</v>
      </c>
      <c r="Q28" s="6">
        <f t="shared" si="12"/>
        <v>0</v>
      </c>
      <c r="R28" s="4"/>
      <c r="S28" s="5">
        <f>41</f>
        <v>41</v>
      </c>
      <c r="T28" s="5">
        <f t="shared" si="13"/>
        <v>-41</v>
      </c>
      <c r="U28" s="6">
        <f t="shared" si="14"/>
        <v>0</v>
      </c>
      <c r="V28" s="4"/>
      <c r="W28" s="5">
        <f>41</f>
        <v>41</v>
      </c>
      <c r="X28" s="5">
        <f t="shared" si="15"/>
        <v>-41</v>
      </c>
      <c r="Y28" s="6">
        <f t="shared" si="16"/>
        <v>0</v>
      </c>
      <c r="Z28" s="4"/>
      <c r="AA28" s="5">
        <f>41</f>
        <v>41</v>
      </c>
      <c r="AB28" s="5">
        <f t="shared" si="17"/>
        <v>-41</v>
      </c>
      <c r="AC28" s="6">
        <f t="shared" si="18"/>
        <v>0</v>
      </c>
      <c r="AD28" s="4"/>
      <c r="AE28" s="5">
        <f>41</f>
        <v>41</v>
      </c>
      <c r="AF28" s="5">
        <f t="shared" si="19"/>
        <v>-41</v>
      </c>
      <c r="AG28" s="6">
        <f t="shared" si="20"/>
        <v>0</v>
      </c>
      <c r="AH28" s="4"/>
      <c r="AI28" s="5">
        <f>41</f>
        <v>41</v>
      </c>
      <c r="AJ28" s="5">
        <f t="shared" si="21"/>
        <v>-41</v>
      </c>
      <c r="AK28" s="6">
        <f t="shared" si="22"/>
        <v>0</v>
      </c>
      <c r="AL28" s="4"/>
      <c r="AM28" s="5">
        <f>41</f>
        <v>41</v>
      </c>
      <c r="AN28" s="5">
        <f t="shared" si="23"/>
        <v>-41</v>
      </c>
      <c r="AO28" s="6">
        <f t="shared" si="24"/>
        <v>0</v>
      </c>
      <c r="AP28" s="4"/>
      <c r="AQ28" s="5">
        <f>41</f>
        <v>41</v>
      </c>
      <c r="AR28" s="5">
        <f t="shared" si="25"/>
        <v>-41</v>
      </c>
      <c r="AS28" s="6">
        <f t="shared" si="26"/>
        <v>0</v>
      </c>
      <c r="AT28" s="4"/>
      <c r="AU28" s="5">
        <f>49</f>
        <v>49</v>
      </c>
      <c r="AV28" s="5">
        <f t="shared" si="27"/>
        <v>-49</v>
      </c>
      <c r="AW28" s="6">
        <f t="shared" si="28"/>
        <v>0</v>
      </c>
      <c r="AX28" s="77">
        <v>297</v>
      </c>
      <c r="AY28" s="96">
        <v>625.54999999999995</v>
      </c>
      <c r="AZ28" s="8">
        <v>1000</v>
      </c>
      <c r="BA28" s="8">
        <v>0</v>
      </c>
      <c r="BB28" s="8">
        <v>1000</v>
      </c>
      <c r="BC28" s="123">
        <v>1232</v>
      </c>
      <c r="BD28" s="123">
        <v>1500</v>
      </c>
      <c r="BE28" s="123">
        <v>1500</v>
      </c>
      <c r="BF28" s="123">
        <v>1500</v>
      </c>
      <c r="BG28" s="123">
        <v>1500</v>
      </c>
      <c r="BH28" s="123">
        <v>1500</v>
      </c>
      <c r="BI28" s="126">
        <v>1500</v>
      </c>
      <c r="BO28" s="121"/>
    </row>
    <row r="29" spans="1:67" x14ac:dyDescent="0.25">
      <c r="A29" s="36" t="s">
        <v>27</v>
      </c>
      <c r="B29" s="33"/>
      <c r="C29" s="34">
        <f>650</f>
        <v>650</v>
      </c>
      <c r="D29" s="34">
        <f t="shared" si="5"/>
        <v>-650</v>
      </c>
      <c r="E29" s="35">
        <f t="shared" si="6"/>
        <v>0</v>
      </c>
      <c r="F29" s="33"/>
      <c r="G29" s="34">
        <f>650</f>
        <v>650</v>
      </c>
      <c r="H29" s="34">
        <f t="shared" si="7"/>
        <v>-650</v>
      </c>
      <c r="I29" s="35">
        <f t="shared" si="8"/>
        <v>0</v>
      </c>
      <c r="J29" s="34">
        <f>2097.5</f>
        <v>2097.5</v>
      </c>
      <c r="K29" s="34">
        <f>650</f>
        <v>650</v>
      </c>
      <c r="L29" s="34">
        <f t="shared" si="9"/>
        <v>1447.5</v>
      </c>
      <c r="M29" s="35">
        <f t="shared" si="10"/>
        <v>3.226923076923077</v>
      </c>
      <c r="N29" s="33"/>
      <c r="O29" s="34">
        <f>650</f>
        <v>650</v>
      </c>
      <c r="P29" s="34">
        <f t="shared" si="11"/>
        <v>-650</v>
      </c>
      <c r="Q29" s="35">
        <f t="shared" si="12"/>
        <v>0</v>
      </c>
      <c r="R29" s="33"/>
      <c r="S29" s="34">
        <f>650</f>
        <v>650</v>
      </c>
      <c r="T29" s="34">
        <f t="shared" si="13"/>
        <v>-650</v>
      </c>
      <c r="U29" s="35">
        <f t="shared" si="14"/>
        <v>0</v>
      </c>
      <c r="V29" s="34">
        <f>2097.5</f>
        <v>2097.5</v>
      </c>
      <c r="W29" s="34">
        <f>650</f>
        <v>650</v>
      </c>
      <c r="X29" s="34">
        <f t="shared" si="15"/>
        <v>1447.5</v>
      </c>
      <c r="Y29" s="35">
        <f t="shared" si="16"/>
        <v>3.226923076923077</v>
      </c>
      <c r="Z29" s="33"/>
      <c r="AA29" s="34">
        <f>650</f>
        <v>650</v>
      </c>
      <c r="AB29" s="34">
        <f t="shared" si="17"/>
        <v>-650</v>
      </c>
      <c r="AC29" s="35">
        <f t="shared" si="18"/>
        <v>0</v>
      </c>
      <c r="AD29" s="33"/>
      <c r="AE29" s="34">
        <f>650</f>
        <v>650</v>
      </c>
      <c r="AF29" s="34">
        <f t="shared" si="19"/>
        <v>-650</v>
      </c>
      <c r="AG29" s="35">
        <f t="shared" si="20"/>
        <v>0</v>
      </c>
      <c r="AH29" s="33"/>
      <c r="AI29" s="34">
        <f>650</f>
        <v>650</v>
      </c>
      <c r="AJ29" s="34">
        <f t="shared" si="21"/>
        <v>-650</v>
      </c>
      <c r="AK29" s="35">
        <f t="shared" si="22"/>
        <v>0</v>
      </c>
      <c r="AL29" s="33"/>
      <c r="AM29" s="34">
        <f>650</f>
        <v>650</v>
      </c>
      <c r="AN29" s="34">
        <f t="shared" si="23"/>
        <v>-650</v>
      </c>
      <c r="AO29" s="35">
        <f t="shared" si="24"/>
        <v>0</v>
      </c>
      <c r="AP29" s="33"/>
      <c r="AQ29" s="34">
        <f>650</f>
        <v>650</v>
      </c>
      <c r="AR29" s="34">
        <f t="shared" si="25"/>
        <v>-650</v>
      </c>
      <c r="AS29" s="35">
        <f t="shared" si="26"/>
        <v>0</v>
      </c>
      <c r="AT29" s="33"/>
      <c r="AU29" s="34">
        <f>650</f>
        <v>650</v>
      </c>
      <c r="AV29" s="34">
        <f t="shared" si="27"/>
        <v>-650</v>
      </c>
      <c r="AW29" s="35">
        <f t="shared" si="28"/>
        <v>0</v>
      </c>
      <c r="AX29" s="77">
        <v>8390</v>
      </c>
      <c r="AY29" s="96">
        <v>9139.25</v>
      </c>
      <c r="AZ29" s="8">
        <v>9240</v>
      </c>
      <c r="BA29" s="8">
        <v>7631.58</v>
      </c>
      <c r="BB29" s="8">
        <v>10000</v>
      </c>
      <c r="BC29" s="123">
        <v>10158</v>
      </c>
      <c r="BD29" s="123">
        <v>11800</v>
      </c>
      <c r="BE29" s="123">
        <v>11000</v>
      </c>
      <c r="BF29" s="123">
        <f>+BE29*1.05</f>
        <v>11550</v>
      </c>
      <c r="BG29" s="123">
        <f>+BF29*1.05</f>
        <v>12127.5</v>
      </c>
      <c r="BH29" s="123">
        <f>+BG29*1.05</f>
        <v>12733.875</v>
      </c>
      <c r="BI29" s="126">
        <v>12000</v>
      </c>
      <c r="BO29" s="121"/>
    </row>
    <row r="30" spans="1:67" x14ac:dyDescent="0.25">
      <c r="A30" s="3" t="s">
        <v>28</v>
      </c>
      <c r="B30" s="4"/>
      <c r="C30" s="4"/>
      <c r="D30" s="5">
        <f t="shared" si="5"/>
        <v>0</v>
      </c>
      <c r="E30" s="6" t="str">
        <f t="shared" si="6"/>
        <v/>
      </c>
      <c r="F30" s="4"/>
      <c r="G30" s="4"/>
      <c r="H30" s="5">
        <f t="shared" si="7"/>
        <v>0</v>
      </c>
      <c r="I30" s="6" t="str">
        <f t="shared" si="8"/>
        <v/>
      </c>
      <c r="J30" s="5">
        <f>20</f>
        <v>20</v>
      </c>
      <c r="K30" s="4"/>
      <c r="L30" s="5">
        <f t="shared" si="9"/>
        <v>20</v>
      </c>
      <c r="M30" s="6" t="str">
        <f t="shared" si="10"/>
        <v/>
      </c>
      <c r="N30" s="4"/>
      <c r="O30" s="4"/>
      <c r="P30" s="5">
        <f t="shared" si="11"/>
        <v>0</v>
      </c>
      <c r="Q30" s="6" t="str">
        <f t="shared" si="12"/>
        <v/>
      </c>
      <c r="R30" s="4"/>
      <c r="S30" s="4"/>
      <c r="T30" s="5">
        <f t="shared" si="13"/>
        <v>0</v>
      </c>
      <c r="U30" s="6" t="str">
        <f t="shared" si="14"/>
        <v/>
      </c>
      <c r="V30" s="4"/>
      <c r="W30" s="4"/>
      <c r="X30" s="5">
        <f t="shared" si="15"/>
        <v>0</v>
      </c>
      <c r="Y30" s="6" t="str">
        <f t="shared" si="16"/>
        <v/>
      </c>
      <c r="Z30" s="4"/>
      <c r="AA30" s="4"/>
      <c r="AB30" s="5">
        <f t="shared" si="17"/>
        <v>0</v>
      </c>
      <c r="AC30" s="6" t="str">
        <f t="shared" si="18"/>
        <v/>
      </c>
      <c r="AD30" s="4"/>
      <c r="AE30" s="4"/>
      <c r="AF30" s="5">
        <f t="shared" si="19"/>
        <v>0</v>
      </c>
      <c r="AG30" s="6" t="str">
        <f t="shared" si="20"/>
        <v/>
      </c>
      <c r="AH30" s="4"/>
      <c r="AI30" s="4"/>
      <c r="AJ30" s="5">
        <f t="shared" si="21"/>
        <v>0</v>
      </c>
      <c r="AK30" s="6" t="str">
        <f t="shared" si="22"/>
        <v/>
      </c>
      <c r="AL30" s="4"/>
      <c r="AM30" s="4"/>
      <c r="AN30" s="5">
        <f t="shared" si="23"/>
        <v>0</v>
      </c>
      <c r="AO30" s="6" t="str">
        <f t="shared" si="24"/>
        <v/>
      </c>
      <c r="AP30" s="4"/>
      <c r="AQ30" s="4"/>
      <c r="AR30" s="5">
        <f t="shared" si="25"/>
        <v>0</v>
      </c>
      <c r="AS30" s="6" t="str">
        <f t="shared" si="26"/>
        <v/>
      </c>
      <c r="AT30" s="4"/>
      <c r="AU30" s="4"/>
      <c r="AV30" s="5">
        <f t="shared" si="27"/>
        <v>0</v>
      </c>
      <c r="AW30" s="6" t="str">
        <f t="shared" si="28"/>
        <v/>
      </c>
      <c r="AX30" s="77">
        <v>20</v>
      </c>
      <c r="AY30" s="96">
        <v>2</v>
      </c>
      <c r="AZ30" s="8">
        <v>20</v>
      </c>
      <c r="BA30" s="8">
        <v>5</v>
      </c>
      <c r="BB30" s="8">
        <v>20</v>
      </c>
      <c r="BC30" s="123">
        <v>0</v>
      </c>
      <c r="BD30" s="123">
        <v>21</v>
      </c>
      <c r="BE30" s="123">
        <v>25</v>
      </c>
      <c r="BF30" s="115">
        <v>25</v>
      </c>
      <c r="BG30" s="115">
        <v>25</v>
      </c>
      <c r="BH30" s="115">
        <v>25</v>
      </c>
      <c r="BI30" s="126">
        <v>25</v>
      </c>
      <c r="BO30" s="121"/>
    </row>
    <row r="31" spans="1:67" ht="22.5" x14ac:dyDescent="0.25">
      <c r="A31" s="3" t="s">
        <v>56</v>
      </c>
      <c r="B31" s="4"/>
      <c r="C31" s="4"/>
      <c r="D31" s="5">
        <f t="shared" si="5"/>
        <v>0</v>
      </c>
      <c r="E31" s="6" t="str">
        <f t="shared" si="6"/>
        <v/>
      </c>
      <c r="F31" s="4"/>
      <c r="G31" s="4"/>
      <c r="H31" s="5">
        <f t="shared" si="7"/>
        <v>0</v>
      </c>
      <c r="I31" s="6" t="str">
        <f t="shared" si="8"/>
        <v/>
      </c>
      <c r="J31" s="4"/>
      <c r="K31" s="4"/>
      <c r="L31" s="5">
        <f t="shared" si="9"/>
        <v>0</v>
      </c>
      <c r="M31" s="6" t="str">
        <f t="shared" si="10"/>
        <v/>
      </c>
      <c r="N31" s="4"/>
      <c r="O31" s="4"/>
      <c r="P31" s="5">
        <f t="shared" si="11"/>
        <v>0</v>
      </c>
      <c r="Q31" s="6" t="str">
        <f t="shared" si="12"/>
        <v/>
      </c>
      <c r="R31" s="4"/>
      <c r="S31" s="4"/>
      <c r="T31" s="5">
        <f t="shared" si="13"/>
        <v>0</v>
      </c>
      <c r="U31" s="6" t="str">
        <f t="shared" si="14"/>
        <v/>
      </c>
      <c r="V31" s="4"/>
      <c r="W31" s="4"/>
      <c r="X31" s="5">
        <f t="shared" si="15"/>
        <v>0</v>
      </c>
      <c r="Y31" s="6" t="str">
        <f t="shared" si="16"/>
        <v/>
      </c>
      <c r="Z31" s="4"/>
      <c r="AA31" s="4"/>
      <c r="AB31" s="5">
        <f t="shared" si="17"/>
        <v>0</v>
      </c>
      <c r="AC31" s="6" t="str">
        <f t="shared" si="18"/>
        <v/>
      </c>
      <c r="AD31" s="4"/>
      <c r="AE31" s="4"/>
      <c r="AF31" s="5">
        <f t="shared" si="19"/>
        <v>0</v>
      </c>
      <c r="AG31" s="6" t="str">
        <f t="shared" si="20"/>
        <v/>
      </c>
      <c r="AH31" s="4"/>
      <c r="AI31" s="4"/>
      <c r="AJ31" s="5">
        <f t="shared" si="21"/>
        <v>0</v>
      </c>
      <c r="AK31" s="6" t="str">
        <f t="shared" si="22"/>
        <v/>
      </c>
      <c r="AL31" s="4"/>
      <c r="AM31" s="4"/>
      <c r="AN31" s="5">
        <f t="shared" si="23"/>
        <v>0</v>
      </c>
      <c r="AO31" s="6" t="str">
        <f t="shared" si="24"/>
        <v/>
      </c>
      <c r="AP31" s="4"/>
      <c r="AQ31" s="4"/>
      <c r="AR31" s="5">
        <f t="shared" si="25"/>
        <v>0</v>
      </c>
      <c r="AS31" s="6" t="str">
        <f t="shared" si="26"/>
        <v/>
      </c>
      <c r="AT31" s="4"/>
      <c r="AU31" s="4"/>
      <c r="AV31" s="5">
        <f t="shared" si="27"/>
        <v>0</v>
      </c>
      <c r="AW31" s="6" t="str">
        <f t="shared" si="28"/>
        <v/>
      </c>
      <c r="AX31" s="77"/>
      <c r="AY31" s="8"/>
      <c r="AZ31" s="8"/>
      <c r="BA31" s="8"/>
      <c r="BB31" s="8"/>
      <c r="BC31" s="123"/>
      <c r="BD31" s="123"/>
      <c r="BE31" s="123"/>
      <c r="BF31" s="8"/>
      <c r="BG31" s="8"/>
      <c r="BH31" s="8"/>
      <c r="BI31" s="125"/>
    </row>
    <row r="32" spans="1:67" x14ac:dyDescent="0.25">
      <c r="A32" s="31" t="s">
        <v>59</v>
      </c>
      <c r="B32" s="4"/>
      <c r="C32" s="5">
        <f>41</f>
        <v>41</v>
      </c>
      <c r="D32" s="5">
        <f t="shared" ref="D32" si="30">(B32)-(C32)</f>
        <v>-41</v>
      </c>
      <c r="E32" s="6">
        <f t="shared" ref="E32" si="31">IF(C32=0,"",(B32)/(C32))</f>
        <v>0</v>
      </c>
      <c r="F32" s="4"/>
      <c r="G32" s="5">
        <f>41</f>
        <v>41</v>
      </c>
      <c r="H32" s="5">
        <f t="shared" ref="H32" si="32">(F32)-(G32)</f>
        <v>-41</v>
      </c>
      <c r="I32" s="6">
        <f t="shared" ref="I32" si="33">IF(G32=0,"",(F32)/(G32))</f>
        <v>0</v>
      </c>
      <c r="J32" s="4"/>
      <c r="K32" s="5">
        <f>41</f>
        <v>41</v>
      </c>
      <c r="L32" s="5">
        <f t="shared" ref="L32" si="34">(J32)-(K32)</f>
        <v>-41</v>
      </c>
      <c r="M32" s="6">
        <f t="shared" ref="M32" si="35">IF(K32=0,"",(J32)/(K32))</f>
        <v>0</v>
      </c>
      <c r="N32" s="4"/>
      <c r="O32" s="5">
        <f>41</f>
        <v>41</v>
      </c>
      <c r="P32" s="5">
        <f t="shared" ref="P32" si="36">(N32)-(O32)</f>
        <v>-41</v>
      </c>
      <c r="Q32" s="6">
        <f t="shared" ref="Q32" si="37">IF(O32=0,"",(N32)/(O32))</f>
        <v>0</v>
      </c>
      <c r="R32" s="4"/>
      <c r="S32" s="5">
        <f>41</f>
        <v>41</v>
      </c>
      <c r="T32" s="5">
        <f t="shared" ref="T32" si="38">(R32)-(S32)</f>
        <v>-41</v>
      </c>
      <c r="U32" s="6">
        <f t="shared" ref="U32" si="39">IF(S32=0,"",(R32)/(S32))</f>
        <v>0</v>
      </c>
      <c r="V32" s="4"/>
      <c r="W32" s="5">
        <f>41</f>
        <v>41</v>
      </c>
      <c r="X32" s="5">
        <f t="shared" ref="X32" si="40">(V32)-(W32)</f>
        <v>-41</v>
      </c>
      <c r="Y32" s="6">
        <f t="shared" ref="Y32" si="41">IF(W32=0,"",(V32)/(W32))</f>
        <v>0</v>
      </c>
      <c r="Z32" s="4"/>
      <c r="AA32" s="5">
        <f>41</f>
        <v>41</v>
      </c>
      <c r="AB32" s="5">
        <f t="shared" ref="AB32" si="42">(Z32)-(AA32)</f>
        <v>-41</v>
      </c>
      <c r="AC32" s="6">
        <f t="shared" ref="AC32" si="43">IF(AA32=0,"",(Z32)/(AA32))</f>
        <v>0</v>
      </c>
      <c r="AD32" s="4"/>
      <c r="AE32" s="5">
        <f>41</f>
        <v>41</v>
      </c>
      <c r="AF32" s="5">
        <f t="shared" ref="AF32" si="44">(AD32)-(AE32)</f>
        <v>-41</v>
      </c>
      <c r="AG32" s="6">
        <f t="shared" ref="AG32" si="45">IF(AE32=0,"",(AD32)/(AE32))</f>
        <v>0</v>
      </c>
      <c r="AH32" s="4"/>
      <c r="AI32" s="5">
        <f>41</f>
        <v>41</v>
      </c>
      <c r="AJ32" s="5">
        <f t="shared" ref="AJ32" si="46">(AH32)-(AI32)</f>
        <v>-41</v>
      </c>
      <c r="AK32" s="6">
        <f t="shared" ref="AK32" si="47">IF(AI32=0,"",(AH32)/(AI32))</f>
        <v>0</v>
      </c>
      <c r="AL32" s="4"/>
      <c r="AM32" s="5">
        <f>41</f>
        <v>41</v>
      </c>
      <c r="AN32" s="5">
        <f t="shared" ref="AN32" si="48">(AL32)-(AM32)</f>
        <v>-41</v>
      </c>
      <c r="AO32" s="6">
        <f t="shared" ref="AO32" si="49">IF(AM32=0,"",(AL32)/(AM32))</f>
        <v>0</v>
      </c>
      <c r="AP32" s="4"/>
      <c r="AQ32" s="5">
        <f>41</f>
        <v>41</v>
      </c>
      <c r="AR32" s="5">
        <f t="shared" ref="AR32" si="50">(AP32)-(AQ32)</f>
        <v>-41</v>
      </c>
      <c r="AS32" s="6">
        <f t="shared" ref="AS32" si="51">IF(AQ32=0,"",(AP32)/(AQ32))</f>
        <v>0</v>
      </c>
      <c r="AT32" s="4"/>
      <c r="AU32" s="5">
        <f>49</f>
        <v>49</v>
      </c>
      <c r="AV32" s="5">
        <f t="shared" ref="AV32" si="52">(AT32)-(AU32)</f>
        <v>-49</v>
      </c>
      <c r="AW32" s="6">
        <f t="shared" ref="AW32" si="53">IF(AU32=0,"",(AT32)/(AU32))</f>
        <v>0</v>
      </c>
      <c r="AX32" s="77">
        <v>2397</v>
      </c>
      <c r="AY32" s="96">
        <v>433.3</v>
      </c>
      <c r="AZ32" s="9">
        <v>500</v>
      </c>
      <c r="BA32" s="9">
        <v>0</v>
      </c>
      <c r="BB32" s="9">
        <v>2500</v>
      </c>
      <c r="BC32" s="123">
        <v>0</v>
      </c>
      <c r="BD32" s="123">
        <v>0</v>
      </c>
      <c r="BE32" s="123">
        <v>0</v>
      </c>
      <c r="BF32" s="115">
        <v>0</v>
      </c>
      <c r="BG32" s="115">
        <v>0</v>
      </c>
      <c r="BH32" s="115">
        <v>0</v>
      </c>
      <c r="BI32" s="126">
        <v>0</v>
      </c>
    </row>
    <row r="33" spans="1:73" x14ac:dyDescent="0.25">
      <c r="A33" s="31" t="s">
        <v>57</v>
      </c>
      <c r="B33" s="4"/>
      <c r="C33" s="5">
        <f>158</f>
        <v>158</v>
      </c>
      <c r="D33" s="5">
        <f t="shared" si="5"/>
        <v>-158</v>
      </c>
      <c r="E33" s="6">
        <f t="shared" si="6"/>
        <v>0</v>
      </c>
      <c r="F33" s="4"/>
      <c r="G33" s="5">
        <f>158</f>
        <v>158</v>
      </c>
      <c r="H33" s="5">
        <f t="shared" si="7"/>
        <v>-158</v>
      </c>
      <c r="I33" s="6">
        <f t="shared" si="8"/>
        <v>0</v>
      </c>
      <c r="J33" s="4"/>
      <c r="K33" s="5">
        <f>158</f>
        <v>158</v>
      </c>
      <c r="L33" s="5">
        <f t="shared" si="9"/>
        <v>-158</v>
      </c>
      <c r="M33" s="6">
        <f t="shared" si="10"/>
        <v>0</v>
      </c>
      <c r="N33" s="4"/>
      <c r="O33" s="5">
        <f>158</f>
        <v>158</v>
      </c>
      <c r="P33" s="5">
        <f t="shared" si="11"/>
        <v>-158</v>
      </c>
      <c r="Q33" s="6">
        <f t="shared" si="12"/>
        <v>0</v>
      </c>
      <c r="R33" s="5">
        <f>509.44</f>
        <v>509.44</v>
      </c>
      <c r="S33" s="5">
        <f>158</f>
        <v>158</v>
      </c>
      <c r="T33" s="5">
        <f t="shared" si="13"/>
        <v>351.44</v>
      </c>
      <c r="U33" s="6">
        <f t="shared" si="14"/>
        <v>3.2243037974683544</v>
      </c>
      <c r="V33" s="5">
        <f>509.44</f>
        <v>509.44</v>
      </c>
      <c r="W33" s="5">
        <f>158</f>
        <v>158</v>
      </c>
      <c r="X33" s="5">
        <f t="shared" si="15"/>
        <v>351.44</v>
      </c>
      <c r="Y33" s="6">
        <f t="shared" si="16"/>
        <v>3.2243037974683544</v>
      </c>
      <c r="Z33" s="4"/>
      <c r="AA33" s="5">
        <f>158</f>
        <v>158</v>
      </c>
      <c r="AB33" s="5">
        <f t="shared" si="17"/>
        <v>-158</v>
      </c>
      <c r="AC33" s="6">
        <f t="shared" si="18"/>
        <v>0</v>
      </c>
      <c r="AD33" s="4"/>
      <c r="AE33" s="5">
        <f>158</f>
        <v>158</v>
      </c>
      <c r="AF33" s="5">
        <f t="shared" si="19"/>
        <v>-158</v>
      </c>
      <c r="AG33" s="6">
        <f t="shared" si="20"/>
        <v>0</v>
      </c>
      <c r="AH33" s="4"/>
      <c r="AI33" s="5">
        <f>158</f>
        <v>158</v>
      </c>
      <c r="AJ33" s="5">
        <f t="shared" si="21"/>
        <v>-158</v>
      </c>
      <c r="AK33" s="6">
        <f t="shared" si="22"/>
        <v>0</v>
      </c>
      <c r="AL33" s="4"/>
      <c r="AM33" s="5">
        <f>158</f>
        <v>158</v>
      </c>
      <c r="AN33" s="5">
        <f t="shared" si="23"/>
        <v>-158</v>
      </c>
      <c r="AO33" s="6">
        <f t="shared" si="24"/>
        <v>0</v>
      </c>
      <c r="AP33" s="4"/>
      <c r="AQ33" s="5">
        <f>158</f>
        <v>158</v>
      </c>
      <c r="AR33" s="5">
        <f t="shared" si="25"/>
        <v>-158</v>
      </c>
      <c r="AS33" s="6">
        <f t="shared" si="26"/>
        <v>0</v>
      </c>
      <c r="AT33" s="4"/>
      <c r="AU33" s="5">
        <f>162</f>
        <v>162</v>
      </c>
      <c r="AV33" s="5">
        <f t="shared" si="27"/>
        <v>-162</v>
      </c>
      <c r="AW33" s="6">
        <f t="shared" si="28"/>
        <v>0</v>
      </c>
      <c r="AX33" s="77">
        <v>2547</v>
      </c>
      <c r="AY33" s="96">
        <v>1952.16</v>
      </c>
      <c r="AZ33" s="8">
        <v>2000</v>
      </c>
      <c r="BA33" s="8">
        <v>1954.2</v>
      </c>
      <c r="BB33" s="8">
        <v>2000</v>
      </c>
      <c r="BC33" s="123">
        <v>531</v>
      </c>
      <c r="BD33" s="123">
        <v>2050</v>
      </c>
      <c r="BE33" s="123">
        <v>2160</v>
      </c>
      <c r="BF33" s="123">
        <v>2200</v>
      </c>
      <c r="BG33" s="123">
        <v>2225</v>
      </c>
      <c r="BH33" s="123">
        <v>2250</v>
      </c>
      <c r="BI33" s="126">
        <v>2275</v>
      </c>
    </row>
    <row r="34" spans="1:73" x14ac:dyDescent="0.25">
      <c r="A34" s="31" t="s">
        <v>61</v>
      </c>
      <c r="B34" s="4"/>
      <c r="C34" s="5">
        <f>458</f>
        <v>458</v>
      </c>
      <c r="D34" s="5">
        <f t="shared" si="5"/>
        <v>-458</v>
      </c>
      <c r="E34" s="6">
        <f t="shared" si="6"/>
        <v>0</v>
      </c>
      <c r="F34" s="4"/>
      <c r="G34" s="5">
        <f>458</f>
        <v>458</v>
      </c>
      <c r="H34" s="5">
        <f t="shared" si="7"/>
        <v>-458</v>
      </c>
      <c r="I34" s="6">
        <f t="shared" si="8"/>
        <v>0</v>
      </c>
      <c r="J34" s="4"/>
      <c r="K34" s="5">
        <f>458</f>
        <v>458</v>
      </c>
      <c r="L34" s="5">
        <f t="shared" si="9"/>
        <v>-458</v>
      </c>
      <c r="M34" s="6">
        <f t="shared" si="10"/>
        <v>0</v>
      </c>
      <c r="N34" s="5">
        <f>383.96</f>
        <v>383.96</v>
      </c>
      <c r="O34" s="5">
        <f>458</f>
        <v>458</v>
      </c>
      <c r="P34" s="5">
        <f t="shared" si="11"/>
        <v>-74.04000000000002</v>
      </c>
      <c r="Q34" s="6">
        <f t="shared" si="12"/>
        <v>0.83834061135371174</v>
      </c>
      <c r="R34" s="5">
        <f>959.9</f>
        <v>959.9</v>
      </c>
      <c r="S34" s="5">
        <f>458</f>
        <v>458</v>
      </c>
      <c r="T34" s="5">
        <f t="shared" si="13"/>
        <v>501.9</v>
      </c>
      <c r="U34" s="6">
        <f t="shared" si="14"/>
        <v>2.0958515283842796</v>
      </c>
      <c r="V34" s="5">
        <f>575.94</f>
        <v>575.94000000000005</v>
      </c>
      <c r="W34" s="5">
        <f>458</f>
        <v>458</v>
      </c>
      <c r="X34" s="5">
        <f t="shared" si="15"/>
        <v>117.94000000000005</v>
      </c>
      <c r="Y34" s="6">
        <f t="shared" si="16"/>
        <v>1.2575109170305678</v>
      </c>
      <c r="Z34" s="4"/>
      <c r="AA34" s="5">
        <f>458</f>
        <v>458</v>
      </c>
      <c r="AB34" s="5">
        <f t="shared" si="17"/>
        <v>-458</v>
      </c>
      <c r="AC34" s="6">
        <f t="shared" si="18"/>
        <v>0</v>
      </c>
      <c r="AD34" s="4"/>
      <c r="AE34" s="5">
        <f>458</f>
        <v>458</v>
      </c>
      <c r="AF34" s="5">
        <f t="shared" si="19"/>
        <v>-458</v>
      </c>
      <c r="AG34" s="6">
        <f t="shared" si="20"/>
        <v>0</v>
      </c>
      <c r="AH34" s="4"/>
      <c r="AI34" s="5">
        <f>458</f>
        <v>458</v>
      </c>
      <c r="AJ34" s="5">
        <f t="shared" si="21"/>
        <v>-458</v>
      </c>
      <c r="AK34" s="6">
        <f t="shared" si="22"/>
        <v>0</v>
      </c>
      <c r="AL34" s="4"/>
      <c r="AM34" s="5">
        <f>458</f>
        <v>458</v>
      </c>
      <c r="AN34" s="5">
        <f t="shared" si="23"/>
        <v>-458</v>
      </c>
      <c r="AO34" s="6">
        <f t="shared" si="24"/>
        <v>0</v>
      </c>
      <c r="AP34" s="4"/>
      <c r="AQ34" s="5">
        <f>458</f>
        <v>458</v>
      </c>
      <c r="AR34" s="5">
        <f t="shared" si="25"/>
        <v>-458</v>
      </c>
      <c r="AS34" s="6">
        <f t="shared" si="26"/>
        <v>0</v>
      </c>
      <c r="AT34" s="4"/>
      <c r="AU34" s="5">
        <f>462</f>
        <v>462</v>
      </c>
      <c r="AV34" s="5">
        <f t="shared" si="27"/>
        <v>-462</v>
      </c>
      <c r="AW34" s="6">
        <f t="shared" si="28"/>
        <v>0</v>
      </c>
      <c r="AX34" s="77">
        <v>6662</v>
      </c>
      <c r="AY34" s="96">
        <v>10860.18</v>
      </c>
      <c r="AZ34" s="9">
        <v>11500</v>
      </c>
      <c r="BA34" s="9">
        <v>9365</v>
      </c>
      <c r="BB34" s="9">
        <v>11500</v>
      </c>
      <c r="BC34" s="123">
        <v>13826</v>
      </c>
      <c r="BD34" s="123">
        <v>10000</v>
      </c>
      <c r="BE34" s="123">
        <v>13850</v>
      </c>
      <c r="BF34" s="123">
        <v>14200</v>
      </c>
      <c r="BG34" s="123">
        <v>14500</v>
      </c>
      <c r="BH34" s="123">
        <v>14850</v>
      </c>
      <c r="BI34" s="126">
        <v>15200</v>
      </c>
    </row>
    <row r="35" spans="1:73" x14ac:dyDescent="0.25">
      <c r="A35" s="31" t="s">
        <v>58</v>
      </c>
      <c r="B35" s="4"/>
      <c r="C35" s="5">
        <f>391</f>
        <v>391</v>
      </c>
      <c r="D35" s="5">
        <f t="shared" si="5"/>
        <v>-391</v>
      </c>
      <c r="E35" s="6">
        <f t="shared" si="6"/>
        <v>0</v>
      </c>
      <c r="F35" s="4"/>
      <c r="G35" s="5">
        <f>391</f>
        <v>391</v>
      </c>
      <c r="H35" s="5">
        <f t="shared" si="7"/>
        <v>-391</v>
      </c>
      <c r="I35" s="6">
        <f t="shared" si="8"/>
        <v>0</v>
      </c>
      <c r="J35" s="4"/>
      <c r="K35" s="5">
        <f>391</f>
        <v>391</v>
      </c>
      <c r="L35" s="5">
        <f t="shared" si="9"/>
        <v>-391</v>
      </c>
      <c r="M35" s="6">
        <f t="shared" si="10"/>
        <v>0</v>
      </c>
      <c r="N35" s="4"/>
      <c r="O35" s="5">
        <f>391</f>
        <v>391</v>
      </c>
      <c r="P35" s="5">
        <f t="shared" si="11"/>
        <v>-391</v>
      </c>
      <c r="Q35" s="6">
        <f t="shared" si="12"/>
        <v>0</v>
      </c>
      <c r="R35" s="4"/>
      <c r="S35" s="5">
        <f>391</f>
        <v>391</v>
      </c>
      <c r="T35" s="5">
        <f t="shared" si="13"/>
        <v>-391</v>
      </c>
      <c r="U35" s="6">
        <f t="shared" si="14"/>
        <v>0</v>
      </c>
      <c r="V35" s="5">
        <f>4665.38</f>
        <v>4665.38</v>
      </c>
      <c r="W35" s="5">
        <f>391</f>
        <v>391</v>
      </c>
      <c r="X35" s="5">
        <f t="shared" si="15"/>
        <v>4274.38</v>
      </c>
      <c r="Y35" s="6">
        <f t="shared" si="16"/>
        <v>11.931918158567775</v>
      </c>
      <c r="Z35" s="4"/>
      <c r="AA35" s="5">
        <f>391</f>
        <v>391</v>
      </c>
      <c r="AB35" s="5">
        <f t="shared" si="17"/>
        <v>-391</v>
      </c>
      <c r="AC35" s="6">
        <f t="shared" si="18"/>
        <v>0</v>
      </c>
      <c r="AD35" s="4"/>
      <c r="AE35" s="5">
        <f>391</f>
        <v>391</v>
      </c>
      <c r="AF35" s="5">
        <f t="shared" si="19"/>
        <v>-391</v>
      </c>
      <c r="AG35" s="6">
        <f t="shared" si="20"/>
        <v>0</v>
      </c>
      <c r="AH35" s="4"/>
      <c r="AI35" s="5">
        <f>391</f>
        <v>391</v>
      </c>
      <c r="AJ35" s="5">
        <f t="shared" si="21"/>
        <v>-391</v>
      </c>
      <c r="AK35" s="6">
        <f t="shared" si="22"/>
        <v>0</v>
      </c>
      <c r="AL35" s="4"/>
      <c r="AM35" s="5">
        <f>391</f>
        <v>391</v>
      </c>
      <c r="AN35" s="5">
        <f t="shared" si="23"/>
        <v>-391</v>
      </c>
      <c r="AO35" s="6">
        <f t="shared" si="24"/>
        <v>0</v>
      </c>
      <c r="AP35" s="4"/>
      <c r="AQ35" s="5">
        <f>391</f>
        <v>391</v>
      </c>
      <c r="AR35" s="5">
        <f t="shared" si="25"/>
        <v>-391</v>
      </c>
      <c r="AS35" s="6">
        <f t="shared" si="26"/>
        <v>0</v>
      </c>
      <c r="AT35" s="4"/>
      <c r="AU35" s="5">
        <f>399</f>
        <v>399</v>
      </c>
      <c r="AV35" s="5">
        <f t="shared" si="27"/>
        <v>-399</v>
      </c>
      <c r="AW35" s="6">
        <f t="shared" si="28"/>
        <v>0</v>
      </c>
      <c r="AX35" s="77">
        <v>4665</v>
      </c>
      <c r="AY35" s="96">
        <v>2250</v>
      </c>
      <c r="AZ35" s="8">
        <v>4700</v>
      </c>
      <c r="BA35" s="8">
        <v>4800</v>
      </c>
      <c r="BB35" s="8">
        <v>4700</v>
      </c>
      <c r="BC35" s="123">
        <v>5500</v>
      </c>
      <c r="BD35" s="123">
        <v>6000</v>
      </c>
      <c r="BE35" s="123">
        <v>6300</v>
      </c>
      <c r="BF35" s="123">
        <v>6325</v>
      </c>
      <c r="BG35" s="123">
        <v>6350</v>
      </c>
      <c r="BH35" s="123">
        <v>6375</v>
      </c>
      <c r="BI35" s="126">
        <v>6400</v>
      </c>
      <c r="BT35" s="37"/>
      <c r="BU35" s="37"/>
    </row>
    <row r="36" spans="1:73" x14ac:dyDescent="0.25">
      <c r="A36" s="31" t="s">
        <v>60</v>
      </c>
      <c r="B36" s="4"/>
      <c r="C36" s="5">
        <f>245</f>
        <v>245</v>
      </c>
      <c r="D36" s="5">
        <f t="shared" si="5"/>
        <v>-245</v>
      </c>
      <c r="E36" s="6">
        <f t="shared" si="6"/>
        <v>0</v>
      </c>
      <c r="F36" s="4"/>
      <c r="G36" s="5">
        <f>245</f>
        <v>245</v>
      </c>
      <c r="H36" s="5">
        <f t="shared" si="7"/>
        <v>-245</v>
      </c>
      <c r="I36" s="6">
        <f t="shared" si="8"/>
        <v>0</v>
      </c>
      <c r="J36" s="4"/>
      <c r="K36" s="5">
        <f>245</f>
        <v>245</v>
      </c>
      <c r="L36" s="5">
        <f t="shared" si="9"/>
        <v>-245</v>
      </c>
      <c r="M36" s="6">
        <f t="shared" si="10"/>
        <v>0</v>
      </c>
      <c r="N36" s="4"/>
      <c r="O36" s="5">
        <f>245</f>
        <v>245</v>
      </c>
      <c r="P36" s="5">
        <f t="shared" si="11"/>
        <v>-245</v>
      </c>
      <c r="Q36" s="6">
        <f t="shared" si="12"/>
        <v>0</v>
      </c>
      <c r="R36" s="5">
        <f>978.12</f>
        <v>978.12</v>
      </c>
      <c r="S36" s="5">
        <f>245</f>
        <v>245</v>
      </c>
      <c r="T36" s="5">
        <f t="shared" si="13"/>
        <v>733.12</v>
      </c>
      <c r="U36" s="6">
        <f t="shared" si="14"/>
        <v>3.9923265306122451</v>
      </c>
      <c r="V36" s="4"/>
      <c r="W36" s="5">
        <f>245</f>
        <v>245</v>
      </c>
      <c r="X36" s="5">
        <f t="shared" si="15"/>
        <v>-245</v>
      </c>
      <c r="Y36" s="6">
        <f t="shared" si="16"/>
        <v>0</v>
      </c>
      <c r="Z36" s="4"/>
      <c r="AA36" s="5">
        <f>245</f>
        <v>245</v>
      </c>
      <c r="AB36" s="5">
        <f t="shared" si="17"/>
        <v>-245</v>
      </c>
      <c r="AC36" s="6">
        <f t="shared" si="18"/>
        <v>0</v>
      </c>
      <c r="AD36" s="4"/>
      <c r="AE36" s="5">
        <f>245</f>
        <v>245</v>
      </c>
      <c r="AF36" s="5">
        <f t="shared" si="19"/>
        <v>-245</v>
      </c>
      <c r="AG36" s="6">
        <f t="shared" si="20"/>
        <v>0</v>
      </c>
      <c r="AH36" s="4"/>
      <c r="AI36" s="5">
        <f>245</f>
        <v>245</v>
      </c>
      <c r="AJ36" s="5">
        <f t="shared" si="21"/>
        <v>-245</v>
      </c>
      <c r="AK36" s="6">
        <f t="shared" si="22"/>
        <v>0</v>
      </c>
      <c r="AL36" s="4"/>
      <c r="AM36" s="5">
        <f>245</f>
        <v>245</v>
      </c>
      <c r="AN36" s="5">
        <f t="shared" si="23"/>
        <v>-245</v>
      </c>
      <c r="AO36" s="6">
        <f t="shared" si="24"/>
        <v>0</v>
      </c>
      <c r="AP36" s="4"/>
      <c r="AQ36" s="5">
        <f>245</f>
        <v>245</v>
      </c>
      <c r="AR36" s="5">
        <f t="shared" si="25"/>
        <v>-245</v>
      </c>
      <c r="AS36" s="6">
        <f t="shared" si="26"/>
        <v>0</v>
      </c>
      <c r="AT36" s="4"/>
      <c r="AU36" s="5">
        <f>255</f>
        <v>255</v>
      </c>
      <c r="AV36" s="5">
        <f t="shared" si="27"/>
        <v>-255</v>
      </c>
      <c r="AW36" s="6">
        <f t="shared" si="28"/>
        <v>0</v>
      </c>
      <c r="AX36" s="77">
        <v>1956</v>
      </c>
      <c r="AY36" s="96">
        <v>1287</v>
      </c>
      <c r="AZ36" s="8">
        <v>2950</v>
      </c>
      <c r="BA36" s="8">
        <v>1450</v>
      </c>
      <c r="BB36" s="8">
        <v>2950</v>
      </c>
      <c r="BC36" s="123">
        <v>0</v>
      </c>
      <c r="BD36" s="123">
        <v>2100</v>
      </c>
      <c r="BE36" s="123">
        <v>2200</v>
      </c>
      <c r="BF36" s="123">
        <v>2225</v>
      </c>
      <c r="BG36" s="123">
        <v>2250</v>
      </c>
      <c r="BH36" s="123">
        <v>2275</v>
      </c>
      <c r="BI36" s="126">
        <v>2300</v>
      </c>
      <c r="BT36" s="37"/>
    </row>
    <row r="37" spans="1:73" x14ac:dyDescent="0.25">
      <c r="A37" s="31" t="s">
        <v>83</v>
      </c>
      <c r="B37" s="4"/>
      <c r="C37" s="5"/>
      <c r="D37" s="5"/>
      <c r="E37" s="6"/>
      <c r="F37" s="4"/>
      <c r="G37" s="5"/>
      <c r="H37" s="5"/>
      <c r="I37" s="6"/>
      <c r="J37" s="4"/>
      <c r="K37" s="5"/>
      <c r="L37" s="5"/>
      <c r="M37" s="6"/>
      <c r="N37" s="4"/>
      <c r="O37" s="5"/>
      <c r="P37" s="5"/>
      <c r="Q37" s="6"/>
      <c r="R37" s="5"/>
      <c r="S37" s="5"/>
      <c r="T37" s="5"/>
      <c r="U37" s="6"/>
      <c r="V37" s="4"/>
      <c r="W37" s="5"/>
      <c r="X37" s="5"/>
      <c r="Y37" s="6"/>
      <c r="Z37" s="4"/>
      <c r="AA37" s="5"/>
      <c r="AB37" s="5"/>
      <c r="AC37" s="6"/>
      <c r="AD37" s="4"/>
      <c r="AE37" s="5"/>
      <c r="AF37" s="5"/>
      <c r="AG37" s="6"/>
      <c r="AH37" s="4"/>
      <c r="AI37" s="5"/>
      <c r="AJ37" s="5"/>
      <c r="AK37" s="6"/>
      <c r="AL37" s="4"/>
      <c r="AM37" s="5"/>
      <c r="AN37" s="5"/>
      <c r="AO37" s="6"/>
      <c r="AP37" s="4"/>
      <c r="AQ37" s="5"/>
      <c r="AR37" s="5"/>
      <c r="AS37" s="6"/>
      <c r="AT37" s="4"/>
      <c r="AU37" s="5"/>
      <c r="AV37" s="5"/>
      <c r="AW37" s="6"/>
      <c r="AX37" s="77">
        <v>0</v>
      </c>
      <c r="AY37" s="96">
        <v>0</v>
      </c>
      <c r="AZ37" s="8">
        <v>0</v>
      </c>
      <c r="BA37" s="8">
        <v>0</v>
      </c>
      <c r="BB37" s="8">
        <v>0</v>
      </c>
      <c r="BC37" s="123">
        <v>0</v>
      </c>
      <c r="BD37" s="123">
        <v>4000</v>
      </c>
      <c r="BE37" s="123">
        <v>4200</v>
      </c>
      <c r="BF37" s="115">
        <v>4225</v>
      </c>
      <c r="BG37" s="115">
        <v>4250</v>
      </c>
      <c r="BH37" s="115">
        <v>4275</v>
      </c>
      <c r="BI37" s="126">
        <v>4300</v>
      </c>
      <c r="BT37" s="37"/>
    </row>
    <row r="38" spans="1:73" ht="22.5" x14ac:dyDescent="0.25">
      <c r="A38" s="32" t="s">
        <v>79</v>
      </c>
      <c r="B38" s="33"/>
      <c r="C38" s="34"/>
      <c r="D38" s="34"/>
      <c r="E38" s="35"/>
      <c r="F38" s="33"/>
      <c r="G38" s="34"/>
      <c r="H38" s="34"/>
      <c r="I38" s="35"/>
      <c r="J38" s="33"/>
      <c r="K38" s="34"/>
      <c r="L38" s="34"/>
      <c r="M38" s="35"/>
      <c r="N38" s="33"/>
      <c r="O38" s="34"/>
      <c r="P38" s="34"/>
      <c r="Q38" s="35"/>
      <c r="R38" s="34"/>
      <c r="S38" s="34"/>
      <c r="T38" s="34"/>
      <c r="U38" s="35"/>
      <c r="V38" s="33"/>
      <c r="W38" s="34"/>
      <c r="X38" s="34"/>
      <c r="Y38" s="35"/>
      <c r="Z38" s="33"/>
      <c r="AA38" s="34"/>
      <c r="AB38" s="34"/>
      <c r="AC38" s="35"/>
      <c r="AD38" s="33"/>
      <c r="AE38" s="34"/>
      <c r="AF38" s="34"/>
      <c r="AG38" s="35"/>
      <c r="AH38" s="33"/>
      <c r="AI38" s="34"/>
      <c r="AJ38" s="34"/>
      <c r="AK38" s="35"/>
      <c r="AL38" s="33"/>
      <c r="AM38" s="34"/>
      <c r="AN38" s="34"/>
      <c r="AO38" s="35"/>
      <c r="AP38" s="33"/>
      <c r="AQ38" s="34"/>
      <c r="AR38" s="34"/>
      <c r="AS38" s="35"/>
      <c r="AT38" s="33"/>
      <c r="AU38" s="34"/>
      <c r="AV38" s="34"/>
      <c r="AW38" s="35"/>
      <c r="AX38" s="77">
        <v>900</v>
      </c>
      <c r="AY38" s="96">
        <v>1125</v>
      </c>
      <c r="AZ38" s="8">
        <v>500</v>
      </c>
      <c r="BA38" s="8">
        <v>980</v>
      </c>
      <c r="BB38" s="8">
        <v>1000</v>
      </c>
      <c r="BC38" s="123">
        <v>429</v>
      </c>
      <c r="BD38" s="123">
        <v>1050</v>
      </c>
      <c r="BE38" s="123">
        <v>1100</v>
      </c>
      <c r="BF38" s="123">
        <v>1150</v>
      </c>
      <c r="BG38" s="123">
        <v>1200</v>
      </c>
      <c r="BH38" s="123">
        <v>1250</v>
      </c>
      <c r="BI38" s="126">
        <v>1300</v>
      </c>
      <c r="BT38" s="37"/>
    </row>
    <row r="39" spans="1:73" x14ac:dyDescent="0.25">
      <c r="A39" s="3" t="s">
        <v>29</v>
      </c>
      <c r="B39" s="4"/>
      <c r="C39" s="4"/>
      <c r="D39" s="5">
        <f t="shared" si="5"/>
        <v>0</v>
      </c>
      <c r="E39" s="6" t="str">
        <f t="shared" si="6"/>
        <v/>
      </c>
      <c r="F39" s="4"/>
      <c r="G39" s="4"/>
      <c r="H39" s="5">
        <f t="shared" si="7"/>
        <v>0</v>
      </c>
      <c r="I39" s="6" t="str">
        <f t="shared" si="8"/>
        <v/>
      </c>
      <c r="J39" s="4"/>
      <c r="K39" s="4"/>
      <c r="L39" s="5">
        <f t="shared" si="9"/>
        <v>0</v>
      </c>
      <c r="M39" s="6" t="str">
        <f t="shared" si="10"/>
        <v/>
      </c>
      <c r="N39" s="5">
        <f>250</f>
        <v>250</v>
      </c>
      <c r="O39" s="4"/>
      <c r="P39" s="5">
        <f t="shared" si="11"/>
        <v>250</v>
      </c>
      <c r="Q39" s="6" t="str">
        <f t="shared" si="12"/>
        <v/>
      </c>
      <c r="R39" s="4"/>
      <c r="S39" s="4"/>
      <c r="T39" s="5">
        <f t="shared" si="13"/>
        <v>0</v>
      </c>
      <c r="U39" s="6" t="str">
        <f t="shared" si="14"/>
        <v/>
      </c>
      <c r="V39" s="4"/>
      <c r="W39" s="4"/>
      <c r="X39" s="5">
        <f t="shared" si="15"/>
        <v>0</v>
      </c>
      <c r="Y39" s="6" t="str">
        <f t="shared" si="16"/>
        <v/>
      </c>
      <c r="Z39" s="4"/>
      <c r="AA39" s="4"/>
      <c r="AB39" s="5">
        <f t="shared" si="17"/>
        <v>0</v>
      </c>
      <c r="AC39" s="6" t="str">
        <f t="shared" si="18"/>
        <v/>
      </c>
      <c r="AD39" s="4"/>
      <c r="AE39" s="4"/>
      <c r="AF39" s="5">
        <f t="shared" si="19"/>
        <v>0</v>
      </c>
      <c r="AG39" s="6" t="str">
        <f t="shared" si="20"/>
        <v/>
      </c>
      <c r="AH39" s="4"/>
      <c r="AI39" s="4"/>
      <c r="AJ39" s="5">
        <f t="shared" si="21"/>
        <v>0</v>
      </c>
      <c r="AK39" s="6" t="str">
        <f t="shared" si="22"/>
        <v/>
      </c>
      <c r="AL39" s="4"/>
      <c r="AM39" s="4"/>
      <c r="AN39" s="5">
        <f t="shared" si="23"/>
        <v>0</v>
      </c>
      <c r="AO39" s="6" t="str">
        <f t="shared" si="24"/>
        <v/>
      </c>
      <c r="AP39" s="4"/>
      <c r="AQ39" s="4"/>
      <c r="AR39" s="5">
        <f t="shared" si="25"/>
        <v>0</v>
      </c>
      <c r="AS39" s="6" t="str">
        <f t="shared" si="26"/>
        <v/>
      </c>
      <c r="AT39" s="4"/>
      <c r="AU39" s="4"/>
      <c r="AV39" s="5">
        <f t="shared" si="27"/>
        <v>0</v>
      </c>
      <c r="AW39" s="6" t="str">
        <f t="shared" si="28"/>
        <v/>
      </c>
      <c r="AX39" s="77"/>
      <c r="AY39" s="8"/>
      <c r="AZ39" s="8"/>
      <c r="BA39" s="8"/>
      <c r="BB39" s="8"/>
      <c r="BC39" s="123"/>
      <c r="BD39" s="123"/>
      <c r="BE39" s="123"/>
      <c r="BF39" s="93"/>
      <c r="BG39" s="93"/>
      <c r="BH39" s="93"/>
      <c r="BI39" s="125"/>
    </row>
    <row r="40" spans="1:73" x14ac:dyDescent="0.25">
      <c r="A40" s="32" t="s">
        <v>80</v>
      </c>
      <c r="B40" s="33"/>
      <c r="C40" s="33"/>
      <c r="D40" s="34"/>
      <c r="E40" s="35"/>
      <c r="F40" s="33"/>
      <c r="G40" s="33"/>
      <c r="H40" s="34"/>
      <c r="I40" s="35"/>
      <c r="J40" s="33"/>
      <c r="K40" s="33"/>
      <c r="L40" s="34"/>
      <c r="M40" s="35"/>
      <c r="N40" s="34"/>
      <c r="O40" s="33"/>
      <c r="P40" s="34"/>
      <c r="Q40" s="35"/>
      <c r="R40" s="33"/>
      <c r="S40" s="33"/>
      <c r="T40" s="34"/>
      <c r="U40" s="35"/>
      <c r="V40" s="33"/>
      <c r="W40" s="33"/>
      <c r="X40" s="34"/>
      <c r="Y40" s="35"/>
      <c r="Z40" s="33"/>
      <c r="AA40" s="33"/>
      <c r="AB40" s="34"/>
      <c r="AC40" s="35"/>
      <c r="AD40" s="33"/>
      <c r="AE40" s="33"/>
      <c r="AF40" s="34"/>
      <c r="AG40" s="35"/>
      <c r="AH40" s="33"/>
      <c r="AI40" s="33"/>
      <c r="AJ40" s="34"/>
      <c r="AK40" s="35"/>
      <c r="AL40" s="33"/>
      <c r="AM40" s="33"/>
      <c r="AN40" s="34"/>
      <c r="AO40" s="35"/>
      <c r="AP40" s="33"/>
      <c r="AQ40" s="33"/>
      <c r="AR40" s="34"/>
      <c r="AS40" s="35"/>
      <c r="AT40" s="33"/>
      <c r="AU40" s="33"/>
      <c r="AV40" s="34"/>
      <c r="AW40" s="35"/>
      <c r="AX40" s="77">
        <v>2659</v>
      </c>
      <c r="AY40" s="96">
        <v>7125</v>
      </c>
      <c r="AZ40" s="9">
        <v>5000</v>
      </c>
      <c r="BA40" s="9">
        <v>1659</v>
      </c>
      <c r="BB40" s="9">
        <v>3000</v>
      </c>
      <c r="BC40" s="123">
        <v>0</v>
      </c>
      <c r="BD40" s="123">
        <v>2500</v>
      </c>
      <c r="BE40" s="123">
        <v>2500</v>
      </c>
      <c r="BF40" s="115">
        <v>2500</v>
      </c>
      <c r="BG40" s="115">
        <v>2500</v>
      </c>
      <c r="BH40" s="115">
        <v>2500</v>
      </c>
      <c r="BI40" s="126">
        <v>2500</v>
      </c>
    </row>
    <row r="41" spans="1:73" x14ac:dyDescent="0.25">
      <c r="A41" s="31" t="s">
        <v>81</v>
      </c>
      <c r="B41" s="4"/>
      <c r="C41" s="4"/>
      <c r="D41" s="5"/>
      <c r="E41" s="6"/>
      <c r="F41" s="4"/>
      <c r="G41" s="4"/>
      <c r="H41" s="5"/>
      <c r="I41" s="6"/>
      <c r="J41" s="4"/>
      <c r="K41" s="4"/>
      <c r="L41" s="5"/>
      <c r="M41" s="6"/>
      <c r="N41" s="5"/>
      <c r="O41" s="4"/>
      <c r="P41" s="5"/>
      <c r="Q41" s="6"/>
      <c r="R41" s="4"/>
      <c r="S41" s="4"/>
      <c r="T41" s="5"/>
      <c r="U41" s="6"/>
      <c r="V41" s="4"/>
      <c r="W41" s="4"/>
      <c r="X41" s="5"/>
      <c r="Y41" s="6"/>
      <c r="Z41" s="4"/>
      <c r="AA41" s="4"/>
      <c r="AB41" s="5"/>
      <c r="AC41" s="6"/>
      <c r="AD41" s="4"/>
      <c r="AE41" s="4"/>
      <c r="AF41" s="5"/>
      <c r="AG41" s="6"/>
      <c r="AH41" s="4"/>
      <c r="AI41" s="4"/>
      <c r="AJ41" s="5"/>
      <c r="AK41" s="6"/>
      <c r="AL41" s="4"/>
      <c r="AM41" s="4"/>
      <c r="AN41" s="5"/>
      <c r="AO41" s="6"/>
      <c r="AP41" s="4"/>
      <c r="AQ41" s="4"/>
      <c r="AR41" s="5"/>
      <c r="AS41" s="6"/>
      <c r="AT41" s="4"/>
      <c r="AU41" s="4"/>
      <c r="AV41" s="5"/>
      <c r="AW41" s="6"/>
      <c r="AX41" s="77">
        <v>250</v>
      </c>
      <c r="AY41" s="96">
        <v>265</v>
      </c>
      <c r="AZ41" s="8">
        <v>250</v>
      </c>
      <c r="BA41" s="8">
        <v>265</v>
      </c>
      <c r="BB41" s="8">
        <v>300</v>
      </c>
      <c r="BC41" s="123">
        <v>0</v>
      </c>
      <c r="BD41" s="123">
        <v>0</v>
      </c>
      <c r="BE41" s="123">
        <v>0</v>
      </c>
      <c r="BF41" s="115">
        <v>0</v>
      </c>
      <c r="BG41" s="115">
        <v>0</v>
      </c>
      <c r="BH41" s="115">
        <v>0</v>
      </c>
      <c r="BI41" s="126">
        <v>0</v>
      </c>
    </row>
    <row r="42" spans="1:73" x14ac:dyDescent="0.25">
      <c r="A42" s="36" t="s">
        <v>92</v>
      </c>
      <c r="B42" s="4"/>
      <c r="C42" s="4"/>
      <c r="D42" s="5"/>
      <c r="E42" s="6"/>
      <c r="F42" s="4"/>
      <c r="G42" s="4"/>
      <c r="H42" s="5"/>
      <c r="I42" s="6"/>
      <c r="J42" s="4"/>
      <c r="K42" s="4"/>
      <c r="L42" s="5"/>
      <c r="M42" s="6"/>
      <c r="N42" s="5"/>
      <c r="O42" s="4"/>
      <c r="P42" s="5"/>
      <c r="Q42" s="6"/>
      <c r="R42" s="4"/>
      <c r="S42" s="4"/>
      <c r="T42" s="5"/>
      <c r="U42" s="6"/>
      <c r="V42" s="4"/>
      <c r="W42" s="4"/>
      <c r="X42" s="5"/>
      <c r="Y42" s="6"/>
      <c r="Z42" s="4"/>
      <c r="AA42" s="4"/>
      <c r="AB42" s="5"/>
      <c r="AC42" s="6"/>
      <c r="AD42" s="4"/>
      <c r="AE42" s="4"/>
      <c r="AF42" s="5"/>
      <c r="AG42" s="6"/>
      <c r="AH42" s="4"/>
      <c r="AI42" s="4"/>
      <c r="AJ42" s="5"/>
      <c r="AK42" s="6"/>
      <c r="AL42" s="4"/>
      <c r="AM42" s="4"/>
      <c r="AN42" s="5"/>
      <c r="AO42" s="6"/>
      <c r="AP42" s="4"/>
      <c r="AQ42" s="4"/>
      <c r="AR42" s="5"/>
      <c r="AS42" s="6"/>
      <c r="AT42" s="4"/>
      <c r="AU42" s="4"/>
      <c r="AV42" s="5"/>
      <c r="AW42" s="6"/>
      <c r="AX42" s="77"/>
      <c r="AY42" s="96">
        <v>0</v>
      </c>
      <c r="AZ42" s="8">
        <v>0</v>
      </c>
      <c r="BA42" s="8">
        <v>0</v>
      </c>
      <c r="BB42" s="8">
        <v>0</v>
      </c>
      <c r="BC42" s="123">
        <v>503</v>
      </c>
      <c r="BD42" s="123">
        <v>600</v>
      </c>
      <c r="BE42" s="123">
        <v>630</v>
      </c>
      <c r="BF42" s="123">
        <v>650</v>
      </c>
      <c r="BG42" s="123">
        <v>650</v>
      </c>
      <c r="BH42" s="123">
        <v>700</v>
      </c>
      <c r="BI42" s="126">
        <v>700</v>
      </c>
    </row>
    <row r="43" spans="1:73" x14ac:dyDescent="0.25">
      <c r="A43" s="3" t="s">
        <v>85</v>
      </c>
      <c r="B43" s="4"/>
      <c r="C43" s="4"/>
      <c r="D43" s="5">
        <f t="shared" si="5"/>
        <v>0</v>
      </c>
      <c r="E43" s="6" t="str">
        <f t="shared" si="6"/>
        <v/>
      </c>
      <c r="F43" s="4"/>
      <c r="G43" s="4"/>
      <c r="H43" s="5">
        <f t="shared" si="7"/>
        <v>0</v>
      </c>
      <c r="I43" s="6" t="str">
        <f t="shared" si="8"/>
        <v/>
      </c>
      <c r="J43" s="5">
        <f>25</f>
        <v>25</v>
      </c>
      <c r="K43" s="4"/>
      <c r="L43" s="5">
        <f t="shared" si="9"/>
        <v>25</v>
      </c>
      <c r="M43" s="6" t="str">
        <f t="shared" si="10"/>
        <v/>
      </c>
      <c r="N43" s="4"/>
      <c r="O43" s="4"/>
      <c r="P43" s="5">
        <f t="shared" si="11"/>
        <v>0</v>
      </c>
      <c r="Q43" s="6" t="str">
        <f t="shared" si="12"/>
        <v/>
      </c>
      <c r="R43" s="4"/>
      <c r="S43" s="4"/>
      <c r="T43" s="5">
        <f t="shared" si="13"/>
        <v>0</v>
      </c>
      <c r="U43" s="6" t="str">
        <f t="shared" si="14"/>
        <v/>
      </c>
      <c r="V43" s="4"/>
      <c r="W43" s="4"/>
      <c r="X43" s="5">
        <f t="shared" si="15"/>
        <v>0</v>
      </c>
      <c r="Y43" s="6" t="str">
        <f t="shared" si="16"/>
        <v/>
      </c>
      <c r="Z43" s="4"/>
      <c r="AA43" s="4"/>
      <c r="AB43" s="5">
        <f t="shared" si="17"/>
        <v>0</v>
      </c>
      <c r="AC43" s="6" t="str">
        <f t="shared" si="18"/>
        <v/>
      </c>
      <c r="AD43" s="4"/>
      <c r="AE43" s="4"/>
      <c r="AF43" s="5">
        <f t="shared" si="19"/>
        <v>0</v>
      </c>
      <c r="AG43" s="6" t="str">
        <f t="shared" si="20"/>
        <v/>
      </c>
      <c r="AH43" s="4"/>
      <c r="AI43" s="4"/>
      <c r="AJ43" s="5">
        <f t="shared" si="21"/>
        <v>0</v>
      </c>
      <c r="AK43" s="6" t="str">
        <f t="shared" si="22"/>
        <v/>
      </c>
      <c r="AL43" s="4"/>
      <c r="AM43" s="4"/>
      <c r="AN43" s="5">
        <f t="shared" si="23"/>
        <v>0</v>
      </c>
      <c r="AO43" s="6" t="str">
        <f t="shared" si="24"/>
        <v/>
      </c>
      <c r="AP43" s="4"/>
      <c r="AQ43" s="4"/>
      <c r="AR43" s="5">
        <f t="shared" si="25"/>
        <v>0</v>
      </c>
      <c r="AS43" s="6" t="str">
        <f t="shared" si="26"/>
        <v/>
      </c>
      <c r="AT43" s="4"/>
      <c r="AU43" s="4"/>
      <c r="AV43" s="5">
        <f t="shared" si="27"/>
        <v>0</v>
      </c>
      <c r="AW43" s="6" t="str">
        <f t="shared" si="28"/>
        <v/>
      </c>
      <c r="AX43" s="77">
        <v>2167</v>
      </c>
      <c r="AY43" s="96">
        <v>0</v>
      </c>
      <c r="AZ43" s="8">
        <v>0</v>
      </c>
      <c r="BA43" s="8">
        <v>0</v>
      </c>
      <c r="BB43" s="8">
        <v>0</v>
      </c>
      <c r="BC43" s="123">
        <v>0</v>
      </c>
      <c r="BD43" s="123">
        <v>0</v>
      </c>
      <c r="BE43" s="123">
        <v>0</v>
      </c>
      <c r="BF43" s="115">
        <v>0</v>
      </c>
      <c r="BG43" s="115">
        <v>0</v>
      </c>
      <c r="BH43" s="115">
        <v>0</v>
      </c>
      <c r="BI43" s="126">
        <v>0</v>
      </c>
    </row>
    <row r="44" spans="1:73" x14ac:dyDescent="0.25">
      <c r="A44" s="36" t="s">
        <v>30</v>
      </c>
      <c r="B44" s="33"/>
      <c r="C44" s="34">
        <f>29</f>
        <v>29</v>
      </c>
      <c r="D44" s="34">
        <f t="shared" si="5"/>
        <v>-29</v>
      </c>
      <c r="E44" s="35">
        <f t="shared" si="6"/>
        <v>0</v>
      </c>
      <c r="F44" s="33"/>
      <c r="G44" s="34">
        <f>29</f>
        <v>29</v>
      </c>
      <c r="H44" s="34">
        <f t="shared" si="7"/>
        <v>-29</v>
      </c>
      <c r="I44" s="35">
        <f t="shared" si="8"/>
        <v>0</v>
      </c>
      <c r="J44" s="33"/>
      <c r="K44" s="34">
        <f>29</f>
        <v>29</v>
      </c>
      <c r="L44" s="34">
        <f t="shared" si="9"/>
        <v>-29</v>
      </c>
      <c r="M44" s="35">
        <f t="shared" si="10"/>
        <v>0</v>
      </c>
      <c r="N44" s="33"/>
      <c r="O44" s="34">
        <f>29</f>
        <v>29</v>
      </c>
      <c r="P44" s="34">
        <f t="shared" si="11"/>
        <v>-29</v>
      </c>
      <c r="Q44" s="35">
        <f t="shared" si="12"/>
        <v>0</v>
      </c>
      <c r="R44" s="34">
        <f>42.47</f>
        <v>42.47</v>
      </c>
      <c r="S44" s="34">
        <f>29</f>
        <v>29</v>
      </c>
      <c r="T44" s="34">
        <f t="shared" si="13"/>
        <v>13.469999999999999</v>
      </c>
      <c r="U44" s="35">
        <f t="shared" si="14"/>
        <v>1.4644827586206897</v>
      </c>
      <c r="V44" s="33"/>
      <c r="W44" s="34">
        <f>29</f>
        <v>29</v>
      </c>
      <c r="X44" s="34">
        <f t="shared" si="15"/>
        <v>-29</v>
      </c>
      <c r="Y44" s="35">
        <f t="shared" si="16"/>
        <v>0</v>
      </c>
      <c r="Z44" s="33"/>
      <c r="AA44" s="34">
        <f>29</f>
        <v>29</v>
      </c>
      <c r="AB44" s="34">
        <f t="shared" si="17"/>
        <v>-29</v>
      </c>
      <c r="AC44" s="35">
        <f t="shared" si="18"/>
        <v>0</v>
      </c>
      <c r="AD44" s="33"/>
      <c r="AE44" s="34">
        <f>29</f>
        <v>29</v>
      </c>
      <c r="AF44" s="34">
        <f t="shared" si="19"/>
        <v>-29</v>
      </c>
      <c r="AG44" s="35">
        <f t="shared" si="20"/>
        <v>0</v>
      </c>
      <c r="AH44" s="33"/>
      <c r="AI44" s="34">
        <f>29</f>
        <v>29</v>
      </c>
      <c r="AJ44" s="34">
        <f t="shared" si="21"/>
        <v>-29</v>
      </c>
      <c r="AK44" s="35">
        <f t="shared" si="22"/>
        <v>0</v>
      </c>
      <c r="AL44" s="33"/>
      <c r="AM44" s="34">
        <f>29</f>
        <v>29</v>
      </c>
      <c r="AN44" s="34">
        <f t="shared" si="23"/>
        <v>-29</v>
      </c>
      <c r="AO44" s="35">
        <f t="shared" si="24"/>
        <v>0</v>
      </c>
      <c r="AP44" s="33"/>
      <c r="AQ44" s="34">
        <f>29</f>
        <v>29</v>
      </c>
      <c r="AR44" s="34">
        <f t="shared" si="25"/>
        <v>-29</v>
      </c>
      <c r="AS44" s="35">
        <f t="shared" si="26"/>
        <v>0</v>
      </c>
      <c r="AT44" s="33"/>
      <c r="AU44" s="34">
        <f>31</f>
        <v>31</v>
      </c>
      <c r="AV44" s="34">
        <f t="shared" si="27"/>
        <v>-31</v>
      </c>
      <c r="AW44" s="35">
        <f t="shared" si="28"/>
        <v>0</v>
      </c>
      <c r="AX44" s="77">
        <v>142</v>
      </c>
      <c r="AY44" s="96">
        <v>53.6</v>
      </c>
      <c r="AZ44" s="8">
        <v>200</v>
      </c>
      <c r="BA44" s="8">
        <v>192.62</v>
      </c>
      <c r="BB44" s="8">
        <v>200</v>
      </c>
      <c r="BC44" s="123">
        <v>0</v>
      </c>
      <c r="BD44" s="123">
        <v>200</v>
      </c>
      <c r="BE44" s="123">
        <v>210</v>
      </c>
      <c r="BF44" s="123">
        <v>210</v>
      </c>
      <c r="BG44" s="123">
        <v>210</v>
      </c>
      <c r="BH44" s="123">
        <v>210</v>
      </c>
      <c r="BI44" s="126">
        <v>210</v>
      </c>
    </row>
    <row r="45" spans="1:73" x14ac:dyDescent="0.25">
      <c r="A45" s="3" t="s">
        <v>31</v>
      </c>
      <c r="B45" s="4"/>
      <c r="C45" s="4"/>
      <c r="D45" s="5">
        <f t="shared" si="5"/>
        <v>0</v>
      </c>
      <c r="E45" s="6" t="str">
        <f t="shared" si="6"/>
        <v/>
      </c>
      <c r="F45" s="4"/>
      <c r="G45" s="4"/>
      <c r="H45" s="5">
        <f t="shared" si="7"/>
        <v>0</v>
      </c>
      <c r="I45" s="6" t="str">
        <f t="shared" si="8"/>
        <v/>
      </c>
      <c r="J45" s="4"/>
      <c r="K45" s="4"/>
      <c r="L45" s="5">
        <f t="shared" si="9"/>
        <v>0</v>
      </c>
      <c r="M45" s="6" t="str">
        <f t="shared" si="10"/>
        <v/>
      </c>
      <c r="N45" s="4"/>
      <c r="O45" s="4"/>
      <c r="P45" s="5">
        <f t="shared" si="11"/>
        <v>0</v>
      </c>
      <c r="Q45" s="6" t="str">
        <f t="shared" si="12"/>
        <v/>
      </c>
      <c r="R45" s="4"/>
      <c r="S45" s="4"/>
      <c r="T45" s="5">
        <f t="shared" si="13"/>
        <v>0</v>
      </c>
      <c r="U45" s="6" t="str">
        <f t="shared" si="14"/>
        <v/>
      </c>
      <c r="V45" s="4"/>
      <c r="W45" s="4"/>
      <c r="X45" s="5">
        <f t="shared" si="15"/>
        <v>0</v>
      </c>
      <c r="Y45" s="6" t="str">
        <f t="shared" si="16"/>
        <v/>
      </c>
      <c r="Z45" s="4"/>
      <c r="AA45" s="4"/>
      <c r="AB45" s="5">
        <f t="shared" si="17"/>
        <v>0</v>
      </c>
      <c r="AC45" s="6" t="str">
        <f t="shared" si="18"/>
        <v/>
      </c>
      <c r="AD45" s="4"/>
      <c r="AE45" s="4"/>
      <c r="AF45" s="5">
        <f t="shared" si="19"/>
        <v>0</v>
      </c>
      <c r="AG45" s="6" t="str">
        <f t="shared" si="20"/>
        <v/>
      </c>
      <c r="AH45" s="4"/>
      <c r="AI45" s="4"/>
      <c r="AJ45" s="5">
        <f t="shared" si="21"/>
        <v>0</v>
      </c>
      <c r="AK45" s="6" t="str">
        <f t="shared" si="22"/>
        <v/>
      </c>
      <c r="AL45" s="4"/>
      <c r="AM45" s="4"/>
      <c r="AN45" s="5">
        <f t="shared" si="23"/>
        <v>0</v>
      </c>
      <c r="AO45" s="6" t="str">
        <f t="shared" si="24"/>
        <v/>
      </c>
      <c r="AP45" s="4"/>
      <c r="AQ45" s="4"/>
      <c r="AR45" s="5">
        <f t="shared" si="25"/>
        <v>0</v>
      </c>
      <c r="AS45" s="6" t="str">
        <f t="shared" si="26"/>
        <v/>
      </c>
      <c r="AT45" s="4"/>
      <c r="AU45" s="4"/>
      <c r="AV45" s="5">
        <f t="shared" si="27"/>
        <v>0</v>
      </c>
      <c r="AW45" s="6" t="str">
        <f t="shared" si="28"/>
        <v/>
      </c>
      <c r="AX45" s="77"/>
      <c r="AY45" s="96"/>
      <c r="AZ45" s="8"/>
      <c r="BA45" s="8"/>
      <c r="BB45" s="8"/>
      <c r="BC45" s="123"/>
      <c r="BD45" s="123"/>
      <c r="BE45" s="123"/>
      <c r="BF45" s="8"/>
      <c r="BG45" s="8"/>
      <c r="BH45" s="8"/>
      <c r="BI45" s="127"/>
    </row>
    <row r="46" spans="1:73" x14ac:dyDescent="0.25">
      <c r="A46" s="31" t="s">
        <v>62</v>
      </c>
      <c r="B46" s="4"/>
      <c r="C46" s="5">
        <f>83</f>
        <v>83</v>
      </c>
      <c r="D46" s="5">
        <f t="shared" si="5"/>
        <v>-83</v>
      </c>
      <c r="E46" s="6">
        <f t="shared" si="6"/>
        <v>0</v>
      </c>
      <c r="F46" s="4"/>
      <c r="G46" s="5">
        <f>83</f>
        <v>83</v>
      </c>
      <c r="H46" s="5">
        <f t="shared" si="7"/>
        <v>-83</v>
      </c>
      <c r="I46" s="6">
        <f t="shared" si="8"/>
        <v>0</v>
      </c>
      <c r="J46" s="4"/>
      <c r="K46" s="5">
        <f>83</f>
        <v>83</v>
      </c>
      <c r="L46" s="5">
        <f t="shared" si="9"/>
        <v>-83</v>
      </c>
      <c r="M46" s="6">
        <f t="shared" si="10"/>
        <v>0</v>
      </c>
      <c r="N46" s="4"/>
      <c r="O46" s="5">
        <f>83</f>
        <v>83</v>
      </c>
      <c r="P46" s="5">
        <f t="shared" si="11"/>
        <v>-83</v>
      </c>
      <c r="Q46" s="6">
        <f t="shared" si="12"/>
        <v>0</v>
      </c>
      <c r="R46" s="5">
        <f>193.14</f>
        <v>193.14</v>
      </c>
      <c r="S46" s="5">
        <f>83</f>
        <v>83</v>
      </c>
      <c r="T46" s="5">
        <f t="shared" si="13"/>
        <v>110.13999999999999</v>
      </c>
      <c r="U46" s="6">
        <f t="shared" si="14"/>
        <v>2.3269879518072289</v>
      </c>
      <c r="V46" s="5">
        <f>41.49</f>
        <v>41.49</v>
      </c>
      <c r="W46" s="5">
        <f>83</f>
        <v>83</v>
      </c>
      <c r="X46" s="5">
        <f t="shared" si="15"/>
        <v>-41.51</v>
      </c>
      <c r="Y46" s="6">
        <f t="shared" si="16"/>
        <v>0.4998795180722892</v>
      </c>
      <c r="Z46" s="4"/>
      <c r="AA46" s="5">
        <f>83</f>
        <v>83</v>
      </c>
      <c r="AB46" s="5">
        <f t="shared" si="17"/>
        <v>-83</v>
      </c>
      <c r="AC46" s="6">
        <f t="shared" si="18"/>
        <v>0</v>
      </c>
      <c r="AD46" s="4"/>
      <c r="AE46" s="5">
        <f>83</f>
        <v>83</v>
      </c>
      <c r="AF46" s="5">
        <f t="shared" si="19"/>
        <v>-83</v>
      </c>
      <c r="AG46" s="6">
        <f t="shared" si="20"/>
        <v>0</v>
      </c>
      <c r="AH46" s="4"/>
      <c r="AI46" s="5">
        <f>83</f>
        <v>83</v>
      </c>
      <c r="AJ46" s="5">
        <f t="shared" si="21"/>
        <v>-83</v>
      </c>
      <c r="AK46" s="6">
        <f t="shared" si="22"/>
        <v>0</v>
      </c>
      <c r="AL46" s="4"/>
      <c r="AM46" s="5">
        <f>83</f>
        <v>83</v>
      </c>
      <c r="AN46" s="5">
        <f t="shared" si="23"/>
        <v>-83</v>
      </c>
      <c r="AO46" s="6">
        <f t="shared" si="24"/>
        <v>0</v>
      </c>
      <c r="AP46" s="4"/>
      <c r="AQ46" s="5">
        <f>83</f>
        <v>83</v>
      </c>
      <c r="AR46" s="5">
        <f t="shared" si="25"/>
        <v>-83</v>
      </c>
      <c r="AS46" s="6">
        <f t="shared" si="26"/>
        <v>0</v>
      </c>
      <c r="AT46" s="4"/>
      <c r="AU46" s="5">
        <f>87</f>
        <v>87</v>
      </c>
      <c r="AV46" s="5">
        <f t="shared" si="27"/>
        <v>-87</v>
      </c>
      <c r="AW46" s="6">
        <f t="shared" si="28"/>
        <v>0</v>
      </c>
      <c r="AX46" s="77">
        <v>465</v>
      </c>
      <c r="AY46" s="96">
        <v>494.68</v>
      </c>
      <c r="AZ46" s="8">
        <v>1000</v>
      </c>
      <c r="BA46" s="8">
        <v>408.71</v>
      </c>
      <c r="BB46" s="8">
        <v>1000</v>
      </c>
      <c r="BC46" s="123">
        <v>230</v>
      </c>
      <c r="BD46" s="123">
        <v>1000</v>
      </c>
      <c r="BE46" s="123">
        <v>1050</v>
      </c>
      <c r="BF46" s="115">
        <v>1075</v>
      </c>
      <c r="BG46" s="115">
        <v>2000</v>
      </c>
      <c r="BH46" s="115">
        <v>2025</v>
      </c>
      <c r="BI46" s="126">
        <v>2050</v>
      </c>
    </row>
    <row r="47" spans="1:73" x14ac:dyDescent="0.25">
      <c r="A47" s="31" t="s">
        <v>63</v>
      </c>
      <c r="B47" s="4"/>
      <c r="C47" s="5">
        <f>291</f>
        <v>291</v>
      </c>
      <c r="D47" s="5">
        <f t="shared" si="5"/>
        <v>-291</v>
      </c>
      <c r="E47" s="6">
        <f t="shared" si="6"/>
        <v>0</v>
      </c>
      <c r="F47" s="4"/>
      <c r="G47" s="5">
        <f>291</f>
        <v>291</v>
      </c>
      <c r="H47" s="5">
        <f t="shared" si="7"/>
        <v>-291</v>
      </c>
      <c r="I47" s="6">
        <f t="shared" si="8"/>
        <v>0</v>
      </c>
      <c r="J47" s="4"/>
      <c r="K47" s="5">
        <f>291</f>
        <v>291</v>
      </c>
      <c r="L47" s="5">
        <f t="shared" si="9"/>
        <v>-291</v>
      </c>
      <c r="M47" s="6">
        <f t="shared" si="10"/>
        <v>0</v>
      </c>
      <c r="N47" s="4"/>
      <c r="O47" s="5">
        <f>291</f>
        <v>291</v>
      </c>
      <c r="P47" s="5">
        <f t="shared" si="11"/>
        <v>-291</v>
      </c>
      <c r="Q47" s="6">
        <f t="shared" si="12"/>
        <v>0</v>
      </c>
      <c r="R47" s="4"/>
      <c r="S47" s="5">
        <f>291</f>
        <v>291</v>
      </c>
      <c r="T47" s="5">
        <f t="shared" si="13"/>
        <v>-291</v>
      </c>
      <c r="U47" s="6">
        <f t="shared" si="14"/>
        <v>0</v>
      </c>
      <c r="V47" s="5">
        <f>600</f>
        <v>600</v>
      </c>
      <c r="W47" s="5">
        <f>291</f>
        <v>291</v>
      </c>
      <c r="X47" s="5">
        <f t="shared" si="15"/>
        <v>309</v>
      </c>
      <c r="Y47" s="6">
        <f t="shared" si="16"/>
        <v>2.0618556701030926</v>
      </c>
      <c r="Z47" s="4"/>
      <c r="AA47" s="5">
        <f>291</f>
        <v>291</v>
      </c>
      <c r="AB47" s="5">
        <f t="shared" si="17"/>
        <v>-291</v>
      </c>
      <c r="AC47" s="6">
        <f t="shared" si="18"/>
        <v>0</v>
      </c>
      <c r="AD47" s="4"/>
      <c r="AE47" s="5">
        <f>291</f>
        <v>291</v>
      </c>
      <c r="AF47" s="5">
        <f t="shared" si="19"/>
        <v>-291</v>
      </c>
      <c r="AG47" s="6">
        <f t="shared" si="20"/>
        <v>0</v>
      </c>
      <c r="AH47" s="4"/>
      <c r="AI47" s="5">
        <f>291</f>
        <v>291</v>
      </c>
      <c r="AJ47" s="5">
        <f t="shared" si="21"/>
        <v>-291</v>
      </c>
      <c r="AK47" s="6">
        <f t="shared" si="22"/>
        <v>0</v>
      </c>
      <c r="AL47" s="4"/>
      <c r="AM47" s="5">
        <f>291</f>
        <v>291</v>
      </c>
      <c r="AN47" s="5">
        <f t="shared" si="23"/>
        <v>-291</v>
      </c>
      <c r="AO47" s="6">
        <f t="shared" si="24"/>
        <v>0</v>
      </c>
      <c r="AP47" s="4"/>
      <c r="AQ47" s="5">
        <f>291</f>
        <v>291</v>
      </c>
      <c r="AR47" s="5">
        <f t="shared" si="25"/>
        <v>-291</v>
      </c>
      <c r="AS47" s="6">
        <f t="shared" si="26"/>
        <v>0</v>
      </c>
      <c r="AT47" s="4"/>
      <c r="AU47" s="5">
        <f>299</f>
        <v>299</v>
      </c>
      <c r="AV47" s="5">
        <f t="shared" si="27"/>
        <v>-299</v>
      </c>
      <c r="AW47" s="6">
        <f t="shared" si="28"/>
        <v>0</v>
      </c>
      <c r="AX47" s="77">
        <v>3160</v>
      </c>
      <c r="AY47" s="96">
        <v>3350</v>
      </c>
      <c r="AZ47" s="9">
        <v>4500</v>
      </c>
      <c r="BA47" s="9">
        <v>3477.68</v>
      </c>
      <c r="BB47" s="8">
        <v>6000</v>
      </c>
      <c r="BC47" s="123">
        <v>4500</v>
      </c>
      <c r="BD47" s="123">
        <v>4600</v>
      </c>
      <c r="BE47" s="123">
        <v>4830</v>
      </c>
      <c r="BF47" s="123">
        <v>4900</v>
      </c>
      <c r="BG47" s="123">
        <v>4950</v>
      </c>
      <c r="BH47" s="123">
        <v>5000</v>
      </c>
      <c r="BI47" s="126">
        <v>5550</v>
      </c>
    </row>
    <row r="48" spans="1:73" x14ac:dyDescent="0.25">
      <c r="A48" s="31" t="s">
        <v>64</v>
      </c>
      <c r="B48" s="4"/>
      <c r="C48" s="5">
        <f>83</f>
        <v>83</v>
      </c>
      <c r="D48" s="5">
        <f t="shared" ref="D48:D72" si="54">(B48)-(C48)</f>
        <v>-83</v>
      </c>
      <c r="E48" s="6">
        <f t="shared" ref="E48:E72" si="55">IF(C48=0,"",(B48)/(C48))</f>
        <v>0</v>
      </c>
      <c r="F48" s="4"/>
      <c r="G48" s="5">
        <f>83</f>
        <v>83</v>
      </c>
      <c r="H48" s="5">
        <f t="shared" ref="H48:H72" si="56">(F48)-(G48)</f>
        <v>-83</v>
      </c>
      <c r="I48" s="6">
        <f t="shared" ref="I48:I72" si="57">IF(G48=0,"",(F48)/(G48))</f>
        <v>0</v>
      </c>
      <c r="J48" s="4"/>
      <c r="K48" s="5">
        <f>83</f>
        <v>83</v>
      </c>
      <c r="L48" s="5">
        <f t="shared" ref="L48:L72" si="58">(J48)-(K48)</f>
        <v>-83</v>
      </c>
      <c r="M48" s="6">
        <f t="shared" ref="M48:M72" si="59">IF(K48=0,"",(J48)/(K48))</f>
        <v>0</v>
      </c>
      <c r="N48" s="4"/>
      <c r="O48" s="5">
        <f>83</f>
        <v>83</v>
      </c>
      <c r="P48" s="5">
        <f t="shared" ref="P48:P72" si="60">(N48)-(O48)</f>
        <v>-83</v>
      </c>
      <c r="Q48" s="6">
        <f t="shared" ref="Q48:Q72" si="61">IF(O48=0,"",(N48)/(O48))</f>
        <v>0</v>
      </c>
      <c r="R48" s="4"/>
      <c r="S48" s="5">
        <f>83</f>
        <v>83</v>
      </c>
      <c r="T48" s="5">
        <f t="shared" ref="T48:T72" si="62">(R48)-(S48)</f>
        <v>-83</v>
      </c>
      <c r="U48" s="6">
        <f t="shared" ref="U48:U72" si="63">IF(S48=0,"",(R48)/(S48))</f>
        <v>0</v>
      </c>
      <c r="V48" s="4"/>
      <c r="W48" s="5">
        <f>83</f>
        <v>83</v>
      </c>
      <c r="X48" s="5">
        <f t="shared" ref="X48:X72" si="64">(V48)-(W48)</f>
        <v>-83</v>
      </c>
      <c r="Y48" s="6">
        <f t="shared" ref="Y48:Y72" si="65">IF(W48=0,"",(V48)/(W48))</f>
        <v>0</v>
      </c>
      <c r="Z48" s="4"/>
      <c r="AA48" s="5">
        <f>83</f>
        <v>83</v>
      </c>
      <c r="AB48" s="5">
        <f t="shared" ref="AB48:AB72" si="66">(Z48)-(AA48)</f>
        <v>-83</v>
      </c>
      <c r="AC48" s="6">
        <f t="shared" ref="AC48:AC72" si="67">IF(AA48=0,"",(Z48)/(AA48))</f>
        <v>0</v>
      </c>
      <c r="AD48" s="4"/>
      <c r="AE48" s="5">
        <f>83</f>
        <v>83</v>
      </c>
      <c r="AF48" s="5">
        <f t="shared" ref="AF48:AF72" si="68">(AD48)-(AE48)</f>
        <v>-83</v>
      </c>
      <c r="AG48" s="6">
        <f t="shared" ref="AG48:AG72" si="69">IF(AE48=0,"",(AD48)/(AE48))</f>
        <v>0</v>
      </c>
      <c r="AH48" s="4"/>
      <c r="AI48" s="5">
        <f>83</f>
        <v>83</v>
      </c>
      <c r="AJ48" s="5">
        <f t="shared" ref="AJ48:AJ72" si="70">(AH48)-(AI48)</f>
        <v>-83</v>
      </c>
      <c r="AK48" s="6">
        <f t="shared" ref="AK48:AK72" si="71">IF(AI48=0,"",(AH48)/(AI48))</f>
        <v>0</v>
      </c>
      <c r="AL48" s="4"/>
      <c r="AM48" s="5">
        <f>83</f>
        <v>83</v>
      </c>
      <c r="AN48" s="5">
        <f t="shared" ref="AN48:AN72" si="72">(AL48)-(AM48)</f>
        <v>-83</v>
      </c>
      <c r="AO48" s="6">
        <f t="shared" ref="AO48:AO72" si="73">IF(AM48=0,"",(AL48)/(AM48))</f>
        <v>0</v>
      </c>
      <c r="AP48" s="4"/>
      <c r="AQ48" s="5">
        <f>83</f>
        <v>83</v>
      </c>
      <c r="AR48" s="5">
        <f t="shared" ref="AR48:AR72" si="74">(AP48)-(AQ48)</f>
        <v>-83</v>
      </c>
      <c r="AS48" s="6">
        <f t="shared" ref="AS48:AS72" si="75">IF(AQ48=0,"",(AP48)/(AQ48))</f>
        <v>0</v>
      </c>
      <c r="AT48" s="4"/>
      <c r="AU48" s="5">
        <f>87</f>
        <v>87</v>
      </c>
      <c r="AV48" s="5">
        <f t="shared" ref="AV48:AV72" si="76">(AT48)-(AU48)</f>
        <v>-87</v>
      </c>
      <c r="AW48" s="6">
        <f t="shared" ref="AW48:AW72" si="77">IF(AU48=0,"",(AT48)/(AU48))</f>
        <v>0</v>
      </c>
      <c r="AX48" s="77">
        <v>77</v>
      </c>
      <c r="AY48" s="96">
        <v>0</v>
      </c>
      <c r="AZ48" s="8">
        <v>500</v>
      </c>
      <c r="BA48" s="8">
        <v>162.94999999999999</v>
      </c>
      <c r="BB48" s="8">
        <v>500</v>
      </c>
      <c r="BC48" s="123">
        <v>0</v>
      </c>
      <c r="BD48" s="123">
        <v>550</v>
      </c>
      <c r="BE48" s="123">
        <v>575</v>
      </c>
      <c r="BF48" s="123">
        <v>600</v>
      </c>
      <c r="BG48" s="123">
        <v>600</v>
      </c>
      <c r="BH48" s="123">
        <v>650</v>
      </c>
      <c r="BI48" s="126">
        <v>650</v>
      </c>
    </row>
    <row r="49" spans="1:72" x14ac:dyDescent="0.25">
      <c r="A49" s="31" t="s">
        <v>65</v>
      </c>
      <c r="B49" s="5">
        <f>27.9</f>
        <v>27.9</v>
      </c>
      <c r="C49" s="5">
        <f>83</f>
        <v>83</v>
      </c>
      <c r="D49" s="5">
        <f t="shared" si="54"/>
        <v>-55.1</v>
      </c>
      <c r="E49" s="6">
        <f t="shared" si="55"/>
        <v>0.33614457831325301</v>
      </c>
      <c r="F49" s="5">
        <f>27.9</f>
        <v>27.9</v>
      </c>
      <c r="G49" s="5">
        <f>83</f>
        <v>83</v>
      </c>
      <c r="H49" s="5">
        <f t="shared" si="56"/>
        <v>-55.1</v>
      </c>
      <c r="I49" s="6">
        <f t="shared" si="57"/>
        <v>0.33614457831325301</v>
      </c>
      <c r="J49" s="5">
        <f>27.9</f>
        <v>27.9</v>
      </c>
      <c r="K49" s="5">
        <f>83</f>
        <v>83</v>
      </c>
      <c r="L49" s="5">
        <f t="shared" si="58"/>
        <v>-55.1</v>
      </c>
      <c r="M49" s="6">
        <f t="shared" si="59"/>
        <v>0.33614457831325301</v>
      </c>
      <c r="N49" s="5">
        <f>27.9</f>
        <v>27.9</v>
      </c>
      <c r="O49" s="5">
        <f>83</f>
        <v>83</v>
      </c>
      <c r="P49" s="5">
        <f t="shared" si="60"/>
        <v>-55.1</v>
      </c>
      <c r="Q49" s="6">
        <f t="shared" si="61"/>
        <v>0.33614457831325301</v>
      </c>
      <c r="R49" s="5">
        <f>15.8</f>
        <v>15.8</v>
      </c>
      <c r="S49" s="5">
        <f>83</f>
        <v>83</v>
      </c>
      <c r="T49" s="5">
        <f t="shared" si="62"/>
        <v>-67.2</v>
      </c>
      <c r="U49" s="6">
        <f t="shared" si="63"/>
        <v>0.19036144578313255</v>
      </c>
      <c r="V49" s="5">
        <f>2955.45</f>
        <v>2955.45</v>
      </c>
      <c r="W49" s="5">
        <f>83</f>
        <v>83</v>
      </c>
      <c r="X49" s="5">
        <f t="shared" si="64"/>
        <v>2872.45</v>
      </c>
      <c r="Y49" s="6">
        <f t="shared" si="65"/>
        <v>35.607831325301206</v>
      </c>
      <c r="Z49" s="4"/>
      <c r="AA49" s="5">
        <f>83</f>
        <v>83</v>
      </c>
      <c r="AB49" s="5">
        <f t="shared" si="66"/>
        <v>-83</v>
      </c>
      <c r="AC49" s="6">
        <f t="shared" si="67"/>
        <v>0</v>
      </c>
      <c r="AD49" s="4"/>
      <c r="AE49" s="5">
        <f>83</f>
        <v>83</v>
      </c>
      <c r="AF49" s="5">
        <f t="shared" si="68"/>
        <v>-83</v>
      </c>
      <c r="AG49" s="6">
        <f t="shared" si="69"/>
        <v>0</v>
      </c>
      <c r="AH49" s="4"/>
      <c r="AI49" s="5">
        <f>83</f>
        <v>83</v>
      </c>
      <c r="AJ49" s="5">
        <f t="shared" si="70"/>
        <v>-83</v>
      </c>
      <c r="AK49" s="6">
        <f t="shared" si="71"/>
        <v>0</v>
      </c>
      <c r="AL49" s="4"/>
      <c r="AM49" s="5">
        <f>83</f>
        <v>83</v>
      </c>
      <c r="AN49" s="5">
        <f t="shared" si="72"/>
        <v>-83</v>
      </c>
      <c r="AO49" s="6">
        <f t="shared" si="73"/>
        <v>0</v>
      </c>
      <c r="AP49" s="4"/>
      <c r="AQ49" s="5">
        <f>83</f>
        <v>83</v>
      </c>
      <c r="AR49" s="5">
        <f t="shared" si="74"/>
        <v>-83</v>
      </c>
      <c r="AS49" s="6">
        <f t="shared" si="75"/>
        <v>0</v>
      </c>
      <c r="AT49" s="4"/>
      <c r="AU49" s="5">
        <f>87</f>
        <v>87</v>
      </c>
      <c r="AV49" s="5">
        <f t="shared" si="76"/>
        <v>-87</v>
      </c>
      <c r="AW49" s="6">
        <f t="shared" si="77"/>
        <v>0</v>
      </c>
      <c r="AX49" s="77">
        <v>3839</v>
      </c>
      <c r="AY49" s="96">
        <v>756.51</v>
      </c>
      <c r="AZ49" s="8">
        <v>1000</v>
      </c>
      <c r="BA49" s="8">
        <v>705.37</v>
      </c>
      <c r="BB49" s="8">
        <v>1000</v>
      </c>
      <c r="BC49" s="123">
        <v>1009</v>
      </c>
      <c r="BD49" s="123">
        <v>1600</v>
      </c>
      <c r="BE49" s="123">
        <v>1680</v>
      </c>
      <c r="BF49" s="123">
        <v>2050</v>
      </c>
      <c r="BG49" s="123">
        <v>3000</v>
      </c>
      <c r="BH49" s="123">
        <v>3050</v>
      </c>
      <c r="BI49" s="126">
        <v>4000</v>
      </c>
    </row>
    <row r="50" spans="1:72" x14ac:dyDescent="0.25">
      <c r="A50" s="31" t="s">
        <v>66</v>
      </c>
      <c r="B50" s="4"/>
      <c r="C50" s="5">
        <f>33</f>
        <v>33</v>
      </c>
      <c r="D50" s="5">
        <f t="shared" si="54"/>
        <v>-33</v>
      </c>
      <c r="E50" s="6">
        <f t="shared" si="55"/>
        <v>0</v>
      </c>
      <c r="F50" s="4"/>
      <c r="G50" s="5">
        <f>33</f>
        <v>33</v>
      </c>
      <c r="H50" s="5">
        <f t="shared" si="56"/>
        <v>-33</v>
      </c>
      <c r="I50" s="6">
        <f t="shared" si="57"/>
        <v>0</v>
      </c>
      <c r="J50" s="4"/>
      <c r="K50" s="5">
        <f>33</f>
        <v>33</v>
      </c>
      <c r="L50" s="5">
        <f t="shared" si="58"/>
        <v>-33</v>
      </c>
      <c r="M50" s="6">
        <f t="shared" si="59"/>
        <v>0</v>
      </c>
      <c r="N50" s="5">
        <f>390</f>
        <v>390</v>
      </c>
      <c r="O50" s="5">
        <f>33</f>
        <v>33</v>
      </c>
      <c r="P50" s="5">
        <f t="shared" si="60"/>
        <v>357</v>
      </c>
      <c r="Q50" s="6">
        <f t="shared" si="61"/>
        <v>11.818181818181818</v>
      </c>
      <c r="R50" s="4"/>
      <c r="S50" s="5">
        <f>33</f>
        <v>33</v>
      </c>
      <c r="T50" s="5">
        <f t="shared" si="62"/>
        <v>-33</v>
      </c>
      <c r="U50" s="6">
        <f t="shared" si="63"/>
        <v>0</v>
      </c>
      <c r="V50" s="4"/>
      <c r="W50" s="5">
        <f>33</f>
        <v>33</v>
      </c>
      <c r="X50" s="5">
        <f t="shared" si="64"/>
        <v>-33</v>
      </c>
      <c r="Y50" s="6">
        <f t="shared" si="65"/>
        <v>0</v>
      </c>
      <c r="Z50" s="4"/>
      <c r="AA50" s="5">
        <f>33</f>
        <v>33</v>
      </c>
      <c r="AB50" s="5">
        <f t="shared" si="66"/>
        <v>-33</v>
      </c>
      <c r="AC50" s="6">
        <f t="shared" si="67"/>
        <v>0</v>
      </c>
      <c r="AD50" s="4"/>
      <c r="AE50" s="5">
        <f>33</f>
        <v>33</v>
      </c>
      <c r="AF50" s="5">
        <f t="shared" si="68"/>
        <v>-33</v>
      </c>
      <c r="AG50" s="6">
        <f t="shared" si="69"/>
        <v>0</v>
      </c>
      <c r="AH50" s="4"/>
      <c r="AI50" s="5">
        <f>33</f>
        <v>33</v>
      </c>
      <c r="AJ50" s="5">
        <f t="shared" si="70"/>
        <v>-33</v>
      </c>
      <c r="AK50" s="6">
        <f t="shared" si="71"/>
        <v>0</v>
      </c>
      <c r="AL50" s="4"/>
      <c r="AM50" s="5">
        <f>33</f>
        <v>33</v>
      </c>
      <c r="AN50" s="5">
        <f t="shared" si="72"/>
        <v>-33</v>
      </c>
      <c r="AO50" s="6">
        <f t="shared" si="73"/>
        <v>0</v>
      </c>
      <c r="AP50" s="4"/>
      <c r="AQ50" s="5">
        <f>33</f>
        <v>33</v>
      </c>
      <c r="AR50" s="5">
        <f t="shared" si="74"/>
        <v>-33</v>
      </c>
      <c r="AS50" s="6">
        <f t="shared" si="75"/>
        <v>0</v>
      </c>
      <c r="AT50" s="4"/>
      <c r="AU50" s="5">
        <f>37</f>
        <v>37</v>
      </c>
      <c r="AV50" s="5">
        <f t="shared" si="76"/>
        <v>-37</v>
      </c>
      <c r="AW50" s="6">
        <f t="shared" si="77"/>
        <v>0</v>
      </c>
      <c r="AX50" s="77">
        <v>390</v>
      </c>
      <c r="AY50" s="96">
        <v>390</v>
      </c>
      <c r="AZ50" s="8">
        <v>400</v>
      </c>
      <c r="BA50" s="8">
        <v>410</v>
      </c>
      <c r="BB50" s="8">
        <v>400</v>
      </c>
      <c r="BC50" s="123">
        <v>410</v>
      </c>
      <c r="BD50" s="123">
        <v>500</v>
      </c>
      <c r="BE50" s="123">
        <v>500</v>
      </c>
      <c r="BF50" s="115">
        <v>600</v>
      </c>
      <c r="BG50" s="115">
        <v>600</v>
      </c>
      <c r="BH50" s="115">
        <v>700</v>
      </c>
      <c r="BI50" s="126">
        <v>700</v>
      </c>
    </row>
    <row r="51" spans="1:72" x14ac:dyDescent="0.25">
      <c r="A51" s="31" t="s">
        <v>67</v>
      </c>
      <c r="B51" s="4"/>
      <c r="C51" s="5">
        <f>58</f>
        <v>58</v>
      </c>
      <c r="D51" s="5">
        <f t="shared" si="54"/>
        <v>-58</v>
      </c>
      <c r="E51" s="6">
        <f t="shared" si="55"/>
        <v>0</v>
      </c>
      <c r="F51" s="4"/>
      <c r="G51" s="5">
        <f>58</f>
        <v>58</v>
      </c>
      <c r="H51" s="5">
        <f t="shared" si="56"/>
        <v>-58</v>
      </c>
      <c r="I51" s="6">
        <f t="shared" si="57"/>
        <v>0</v>
      </c>
      <c r="J51" s="4"/>
      <c r="K51" s="5">
        <f>58</f>
        <v>58</v>
      </c>
      <c r="L51" s="5">
        <f t="shared" si="58"/>
        <v>-58</v>
      </c>
      <c r="M51" s="6">
        <f t="shared" si="59"/>
        <v>0</v>
      </c>
      <c r="N51" s="4"/>
      <c r="O51" s="5">
        <f>58</f>
        <v>58</v>
      </c>
      <c r="P51" s="5">
        <f t="shared" si="60"/>
        <v>-58</v>
      </c>
      <c r="Q51" s="6">
        <f t="shared" si="61"/>
        <v>0</v>
      </c>
      <c r="R51" s="5">
        <f>415.85</f>
        <v>415.85</v>
      </c>
      <c r="S51" s="5">
        <f>58</f>
        <v>58</v>
      </c>
      <c r="T51" s="5">
        <f t="shared" si="62"/>
        <v>357.85</v>
      </c>
      <c r="U51" s="6">
        <f t="shared" si="63"/>
        <v>7.169827586206897</v>
      </c>
      <c r="V51" s="5">
        <f>147.79</f>
        <v>147.79</v>
      </c>
      <c r="W51" s="5">
        <f>58</f>
        <v>58</v>
      </c>
      <c r="X51" s="5">
        <f t="shared" si="64"/>
        <v>89.789999999999992</v>
      </c>
      <c r="Y51" s="6">
        <f t="shared" si="65"/>
        <v>2.548103448275862</v>
      </c>
      <c r="Z51" s="4"/>
      <c r="AA51" s="5">
        <f>58</f>
        <v>58</v>
      </c>
      <c r="AB51" s="5">
        <f t="shared" si="66"/>
        <v>-58</v>
      </c>
      <c r="AC51" s="6">
        <f t="shared" si="67"/>
        <v>0</v>
      </c>
      <c r="AD51" s="4"/>
      <c r="AE51" s="5">
        <f>58</f>
        <v>58</v>
      </c>
      <c r="AF51" s="5">
        <f t="shared" si="68"/>
        <v>-58</v>
      </c>
      <c r="AG51" s="6">
        <f t="shared" si="69"/>
        <v>0</v>
      </c>
      <c r="AH51" s="4"/>
      <c r="AI51" s="5">
        <f>58</f>
        <v>58</v>
      </c>
      <c r="AJ51" s="5">
        <f t="shared" si="70"/>
        <v>-58</v>
      </c>
      <c r="AK51" s="6">
        <f t="shared" si="71"/>
        <v>0</v>
      </c>
      <c r="AL51" s="4"/>
      <c r="AM51" s="5">
        <f>58</f>
        <v>58</v>
      </c>
      <c r="AN51" s="5">
        <f t="shared" si="72"/>
        <v>-58</v>
      </c>
      <c r="AO51" s="6">
        <f t="shared" si="73"/>
        <v>0</v>
      </c>
      <c r="AP51" s="4"/>
      <c r="AQ51" s="5">
        <f>58</f>
        <v>58</v>
      </c>
      <c r="AR51" s="5">
        <f t="shared" si="74"/>
        <v>-58</v>
      </c>
      <c r="AS51" s="6">
        <f t="shared" si="75"/>
        <v>0</v>
      </c>
      <c r="AT51" s="4"/>
      <c r="AU51" s="5">
        <f>62</f>
        <v>62</v>
      </c>
      <c r="AV51" s="5">
        <f t="shared" si="76"/>
        <v>-62</v>
      </c>
      <c r="AW51" s="6">
        <f t="shared" si="77"/>
        <v>0</v>
      </c>
      <c r="AX51" s="77">
        <v>849</v>
      </c>
      <c r="AY51" s="96">
        <v>1404.49</v>
      </c>
      <c r="AZ51" s="8">
        <v>700</v>
      </c>
      <c r="BA51" s="8">
        <v>925.31</v>
      </c>
      <c r="BB51" s="8">
        <v>1000</v>
      </c>
      <c r="BC51" s="123">
        <v>4600</v>
      </c>
      <c r="BD51" s="123">
        <v>4000</v>
      </c>
      <c r="BE51" s="123">
        <f>+BD51*1.05</f>
        <v>4200</v>
      </c>
      <c r="BF51" s="123">
        <f>+BE51*1.05</f>
        <v>4410</v>
      </c>
      <c r="BG51" s="123">
        <f>+BF51*1.05</f>
        <v>4630.5</v>
      </c>
      <c r="BH51" s="123">
        <f>+BG51*1.05</f>
        <v>4862.0250000000005</v>
      </c>
      <c r="BI51" s="126">
        <v>4400</v>
      </c>
    </row>
    <row r="52" spans="1:72" x14ac:dyDescent="0.25">
      <c r="A52" s="31" t="s">
        <v>68</v>
      </c>
      <c r="B52" s="4"/>
      <c r="C52" s="5">
        <f>58</f>
        <v>58</v>
      </c>
      <c r="D52" s="5">
        <f t="shared" si="54"/>
        <v>-58</v>
      </c>
      <c r="E52" s="6">
        <f t="shared" si="55"/>
        <v>0</v>
      </c>
      <c r="F52" s="4"/>
      <c r="G52" s="5">
        <f>58</f>
        <v>58</v>
      </c>
      <c r="H52" s="5">
        <f t="shared" si="56"/>
        <v>-58</v>
      </c>
      <c r="I52" s="6">
        <f t="shared" si="57"/>
        <v>0</v>
      </c>
      <c r="J52" s="4"/>
      <c r="K52" s="5">
        <f>58</f>
        <v>58</v>
      </c>
      <c r="L52" s="5">
        <f t="shared" si="58"/>
        <v>-58</v>
      </c>
      <c r="M52" s="6">
        <f t="shared" si="59"/>
        <v>0</v>
      </c>
      <c r="N52" s="4"/>
      <c r="O52" s="5">
        <f>58</f>
        <v>58</v>
      </c>
      <c r="P52" s="5">
        <f t="shared" si="60"/>
        <v>-58</v>
      </c>
      <c r="Q52" s="6">
        <f t="shared" si="61"/>
        <v>0</v>
      </c>
      <c r="R52" s="5">
        <f>291.93</f>
        <v>291.93</v>
      </c>
      <c r="S52" s="5">
        <f>58</f>
        <v>58</v>
      </c>
      <c r="T52" s="5">
        <f t="shared" si="62"/>
        <v>233.93</v>
      </c>
      <c r="U52" s="6">
        <f t="shared" si="63"/>
        <v>5.0332758620689653</v>
      </c>
      <c r="V52" s="4"/>
      <c r="W52" s="5">
        <f>58</f>
        <v>58</v>
      </c>
      <c r="X52" s="5">
        <f t="shared" si="64"/>
        <v>-58</v>
      </c>
      <c r="Y52" s="6">
        <f t="shared" si="65"/>
        <v>0</v>
      </c>
      <c r="Z52" s="4"/>
      <c r="AA52" s="5">
        <f>58</f>
        <v>58</v>
      </c>
      <c r="AB52" s="5">
        <f t="shared" si="66"/>
        <v>-58</v>
      </c>
      <c r="AC52" s="6">
        <f t="shared" si="67"/>
        <v>0</v>
      </c>
      <c r="AD52" s="4"/>
      <c r="AE52" s="5">
        <f>58</f>
        <v>58</v>
      </c>
      <c r="AF52" s="5">
        <f t="shared" si="68"/>
        <v>-58</v>
      </c>
      <c r="AG52" s="6">
        <f t="shared" si="69"/>
        <v>0</v>
      </c>
      <c r="AH52" s="4"/>
      <c r="AI52" s="5">
        <f>58</f>
        <v>58</v>
      </c>
      <c r="AJ52" s="5">
        <f t="shared" si="70"/>
        <v>-58</v>
      </c>
      <c r="AK52" s="6">
        <f t="shared" si="71"/>
        <v>0</v>
      </c>
      <c r="AL52" s="4"/>
      <c r="AM52" s="5">
        <f>58</f>
        <v>58</v>
      </c>
      <c r="AN52" s="5">
        <f t="shared" si="72"/>
        <v>-58</v>
      </c>
      <c r="AO52" s="6">
        <f t="shared" si="73"/>
        <v>0</v>
      </c>
      <c r="AP52" s="4"/>
      <c r="AQ52" s="5">
        <f>58</f>
        <v>58</v>
      </c>
      <c r="AR52" s="5">
        <f t="shared" si="74"/>
        <v>-58</v>
      </c>
      <c r="AS52" s="6">
        <f t="shared" si="75"/>
        <v>0</v>
      </c>
      <c r="AT52" s="4"/>
      <c r="AU52" s="5">
        <f>62</f>
        <v>62</v>
      </c>
      <c r="AV52" s="5">
        <f t="shared" si="76"/>
        <v>-62</v>
      </c>
      <c r="AW52" s="6">
        <f t="shared" si="77"/>
        <v>0</v>
      </c>
      <c r="AX52" s="77">
        <v>582</v>
      </c>
      <c r="AY52" s="96">
        <v>369.95</v>
      </c>
      <c r="AZ52" s="9">
        <v>1000</v>
      </c>
      <c r="BA52" s="9">
        <v>797.72</v>
      </c>
      <c r="BB52" s="8">
        <v>500</v>
      </c>
      <c r="BC52" s="123">
        <v>900</v>
      </c>
      <c r="BD52" s="123">
        <v>550</v>
      </c>
      <c r="BE52" s="123">
        <v>1000</v>
      </c>
      <c r="BF52" s="123">
        <v>1050</v>
      </c>
      <c r="BG52" s="123">
        <v>1100</v>
      </c>
      <c r="BH52" s="123">
        <v>1150</v>
      </c>
      <c r="BI52" s="128">
        <v>1200</v>
      </c>
    </row>
    <row r="53" spans="1:72" x14ac:dyDescent="0.25">
      <c r="A53" s="31" t="s">
        <v>69</v>
      </c>
      <c r="B53" s="5">
        <f>59.11</f>
        <v>59.11</v>
      </c>
      <c r="C53" s="5">
        <f>25</f>
        <v>25</v>
      </c>
      <c r="D53" s="5">
        <f t="shared" si="54"/>
        <v>34.11</v>
      </c>
      <c r="E53" s="6">
        <f t="shared" si="55"/>
        <v>2.3643999999999998</v>
      </c>
      <c r="F53" s="5">
        <f>59.06</f>
        <v>59.06</v>
      </c>
      <c r="G53" s="5">
        <f>25</f>
        <v>25</v>
      </c>
      <c r="H53" s="5">
        <f t="shared" si="56"/>
        <v>34.06</v>
      </c>
      <c r="I53" s="6">
        <f t="shared" si="57"/>
        <v>2.3624000000000001</v>
      </c>
      <c r="J53" s="5">
        <f>59.06</f>
        <v>59.06</v>
      </c>
      <c r="K53" s="5">
        <f>25</f>
        <v>25</v>
      </c>
      <c r="L53" s="5">
        <f t="shared" si="58"/>
        <v>34.06</v>
      </c>
      <c r="M53" s="6">
        <f t="shared" si="59"/>
        <v>2.3624000000000001</v>
      </c>
      <c r="N53" s="5">
        <f>59.06</f>
        <v>59.06</v>
      </c>
      <c r="O53" s="5">
        <f>25</f>
        <v>25</v>
      </c>
      <c r="P53" s="5">
        <f t="shared" si="60"/>
        <v>34.06</v>
      </c>
      <c r="Q53" s="6">
        <f t="shared" si="61"/>
        <v>2.3624000000000001</v>
      </c>
      <c r="R53" s="5">
        <f>59.11</f>
        <v>59.11</v>
      </c>
      <c r="S53" s="5">
        <f>25</f>
        <v>25</v>
      </c>
      <c r="T53" s="5">
        <f t="shared" si="62"/>
        <v>34.11</v>
      </c>
      <c r="U53" s="6">
        <f t="shared" si="63"/>
        <v>2.3643999999999998</v>
      </c>
      <c r="V53" s="5">
        <f>59.11</f>
        <v>59.11</v>
      </c>
      <c r="W53" s="5">
        <f>25</f>
        <v>25</v>
      </c>
      <c r="X53" s="5">
        <f t="shared" si="64"/>
        <v>34.11</v>
      </c>
      <c r="Y53" s="6">
        <f t="shared" si="65"/>
        <v>2.3643999999999998</v>
      </c>
      <c r="Z53" s="4"/>
      <c r="AA53" s="5">
        <f>25</f>
        <v>25</v>
      </c>
      <c r="AB53" s="5">
        <f t="shared" si="66"/>
        <v>-25</v>
      </c>
      <c r="AC53" s="6">
        <f t="shared" si="67"/>
        <v>0</v>
      </c>
      <c r="AD53" s="4"/>
      <c r="AE53" s="5">
        <f>25</f>
        <v>25</v>
      </c>
      <c r="AF53" s="5">
        <f t="shared" si="68"/>
        <v>-25</v>
      </c>
      <c r="AG53" s="6">
        <f t="shared" si="69"/>
        <v>0</v>
      </c>
      <c r="AH53" s="4"/>
      <c r="AI53" s="5">
        <f>25</f>
        <v>25</v>
      </c>
      <c r="AJ53" s="5">
        <f t="shared" si="70"/>
        <v>-25</v>
      </c>
      <c r="AK53" s="6">
        <f t="shared" si="71"/>
        <v>0</v>
      </c>
      <c r="AL53" s="4"/>
      <c r="AM53" s="5">
        <f>25</f>
        <v>25</v>
      </c>
      <c r="AN53" s="5">
        <f t="shared" si="72"/>
        <v>-25</v>
      </c>
      <c r="AO53" s="6">
        <f t="shared" si="73"/>
        <v>0</v>
      </c>
      <c r="AP53" s="4"/>
      <c r="AQ53" s="5">
        <f>25</f>
        <v>25</v>
      </c>
      <c r="AR53" s="5">
        <f t="shared" si="74"/>
        <v>-25</v>
      </c>
      <c r="AS53" s="6">
        <f t="shared" si="75"/>
        <v>0</v>
      </c>
      <c r="AT53" s="4"/>
      <c r="AU53" s="5">
        <f>25</f>
        <v>25</v>
      </c>
      <c r="AV53" s="5">
        <f t="shared" si="76"/>
        <v>-25</v>
      </c>
      <c r="AW53" s="6">
        <f t="shared" si="77"/>
        <v>0</v>
      </c>
      <c r="AX53" s="77">
        <v>710</v>
      </c>
      <c r="AY53" s="96">
        <v>879.39</v>
      </c>
      <c r="AZ53" s="9">
        <v>550</v>
      </c>
      <c r="BA53" s="9">
        <v>494.79</v>
      </c>
      <c r="BB53" s="9">
        <v>750</v>
      </c>
      <c r="BC53" s="123">
        <v>350</v>
      </c>
      <c r="BD53" s="123">
        <v>1600</v>
      </c>
      <c r="BE53" s="123">
        <v>500</v>
      </c>
      <c r="BF53" s="123">
        <v>525</v>
      </c>
      <c r="BG53" s="123">
        <v>550</v>
      </c>
      <c r="BH53" s="123">
        <v>575</v>
      </c>
      <c r="BI53" s="128">
        <v>1775</v>
      </c>
    </row>
    <row r="54" spans="1:72" x14ac:dyDescent="0.25">
      <c r="A54" s="31" t="s">
        <v>70</v>
      </c>
      <c r="B54" s="5">
        <f>40</f>
        <v>40</v>
      </c>
      <c r="C54" s="5">
        <f>25</f>
        <v>25</v>
      </c>
      <c r="D54" s="5">
        <f t="shared" si="54"/>
        <v>15</v>
      </c>
      <c r="E54" s="6">
        <f t="shared" si="55"/>
        <v>1.6</v>
      </c>
      <c r="F54" s="5">
        <f>41</f>
        <v>41</v>
      </c>
      <c r="G54" s="5">
        <f>25</f>
        <v>25</v>
      </c>
      <c r="H54" s="5">
        <f t="shared" si="56"/>
        <v>16</v>
      </c>
      <c r="I54" s="6">
        <f t="shared" si="57"/>
        <v>1.64</v>
      </c>
      <c r="J54" s="5">
        <f>41</f>
        <v>41</v>
      </c>
      <c r="K54" s="5">
        <f>25</f>
        <v>25</v>
      </c>
      <c r="L54" s="5">
        <f t="shared" si="58"/>
        <v>16</v>
      </c>
      <c r="M54" s="6">
        <f t="shared" si="59"/>
        <v>1.64</v>
      </c>
      <c r="N54" s="5">
        <f>41</f>
        <v>41</v>
      </c>
      <c r="O54" s="5">
        <f>25</f>
        <v>25</v>
      </c>
      <c r="P54" s="5">
        <f t="shared" si="60"/>
        <v>16</v>
      </c>
      <c r="Q54" s="6">
        <f t="shared" si="61"/>
        <v>1.64</v>
      </c>
      <c r="R54" s="5">
        <f>41</f>
        <v>41</v>
      </c>
      <c r="S54" s="5">
        <f>25</f>
        <v>25</v>
      </c>
      <c r="T54" s="5">
        <f t="shared" si="62"/>
        <v>16</v>
      </c>
      <c r="U54" s="6">
        <f t="shared" si="63"/>
        <v>1.64</v>
      </c>
      <c r="V54" s="5">
        <f>41</f>
        <v>41</v>
      </c>
      <c r="W54" s="5">
        <f>25</f>
        <v>25</v>
      </c>
      <c r="X54" s="5">
        <f t="shared" si="64"/>
        <v>16</v>
      </c>
      <c r="Y54" s="6">
        <f t="shared" si="65"/>
        <v>1.64</v>
      </c>
      <c r="Z54" s="4"/>
      <c r="AA54" s="5">
        <f>25</f>
        <v>25</v>
      </c>
      <c r="AB54" s="5">
        <f t="shared" si="66"/>
        <v>-25</v>
      </c>
      <c r="AC54" s="6">
        <f t="shared" si="67"/>
        <v>0</v>
      </c>
      <c r="AD54" s="4"/>
      <c r="AE54" s="5">
        <f>25</f>
        <v>25</v>
      </c>
      <c r="AF54" s="5">
        <f t="shared" si="68"/>
        <v>-25</v>
      </c>
      <c r="AG54" s="6">
        <f t="shared" si="69"/>
        <v>0</v>
      </c>
      <c r="AH54" s="4"/>
      <c r="AI54" s="5">
        <f>25</f>
        <v>25</v>
      </c>
      <c r="AJ54" s="5">
        <f t="shared" si="70"/>
        <v>-25</v>
      </c>
      <c r="AK54" s="6">
        <f t="shared" si="71"/>
        <v>0</v>
      </c>
      <c r="AL54" s="4"/>
      <c r="AM54" s="5">
        <f>25</f>
        <v>25</v>
      </c>
      <c r="AN54" s="5">
        <f t="shared" si="72"/>
        <v>-25</v>
      </c>
      <c r="AO54" s="6">
        <f t="shared" si="73"/>
        <v>0</v>
      </c>
      <c r="AP54" s="4"/>
      <c r="AQ54" s="5">
        <f>25</f>
        <v>25</v>
      </c>
      <c r="AR54" s="5">
        <f t="shared" si="74"/>
        <v>-25</v>
      </c>
      <c r="AS54" s="6">
        <f t="shared" si="75"/>
        <v>0</v>
      </c>
      <c r="AT54" s="4"/>
      <c r="AU54" s="5">
        <f>25</f>
        <v>25</v>
      </c>
      <c r="AV54" s="5">
        <f t="shared" si="76"/>
        <v>-25</v>
      </c>
      <c r="AW54" s="6">
        <f t="shared" si="77"/>
        <v>0</v>
      </c>
      <c r="AX54" s="77">
        <v>491</v>
      </c>
      <c r="AY54" s="96">
        <v>472.5</v>
      </c>
      <c r="AZ54" s="9">
        <v>500</v>
      </c>
      <c r="BA54" s="9">
        <v>532.70000000000005</v>
      </c>
      <c r="BB54" s="9">
        <v>500</v>
      </c>
      <c r="BC54" s="123">
        <v>551</v>
      </c>
      <c r="BD54" s="123">
        <v>650</v>
      </c>
      <c r="BE54" s="123">
        <v>685</v>
      </c>
      <c r="BF54" s="123">
        <v>700</v>
      </c>
      <c r="BG54" s="123">
        <v>700</v>
      </c>
      <c r="BH54" s="123">
        <v>750</v>
      </c>
      <c r="BI54" s="128">
        <v>750</v>
      </c>
    </row>
    <row r="55" spans="1:72" x14ac:dyDescent="0.25">
      <c r="A55" s="3" t="s">
        <v>32</v>
      </c>
      <c r="B55" s="4"/>
      <c r="C55" s="5">
        <f>8</f>
        <v>8</v>
      </c>
      <c r="D55" s="5">
        <f t="shared" si="54"/>
        <v>-8</v>
      </c>
      <c r="E55" s="6">
        <f t="shared" si="55"/>
        <v>0</v>
      </c>
      <c r="F55" s="5">
        <f>26.68</f>
        <v>26.68</v>
      </c>
      <c r="G55" s="5">
        <f>8</f>
        <v>8</v>
      </c>
      <c r="H55" s="5">
        <f t="shared" si="56"/>
        <v>18.68</v>
      </c>
      <c r="I55" s="6">
        <f t="shared" si="57"/>
        <v>3.335</v>
      </c>
      <c r="J55" s="4"/>
      <c r="K55" s="5">
        <f>8</f>
        <v>8</v>
      </c>
      <c r="L55" s="5">
        <f t="shared" si="58"/>
        <v>-8</v>
      </c>
      <c r="M55" s="6">
        <f t="shared" si="59"/>
        <v>0</v>
      </c>
      <c r="N55" s="5">
        <f>14.16</f>
        <v>14.16</v>
      </c>
      <c r="O55" s="5">
        <f>8</f>
        <v>8</v>
      </c>
      <c r="P55" s="5">
        <f t="shared" si="60"/>
        <v>6.16</v>
      </c>
      <c r="Q55" s="6">
        <f t="shared" si="61"/>
        <v>1.77</v>
      </c>
      <c r="R55" s="4"/>
      <c r="S55" s="5">
        <f>8</f>
        <v>8</v>
      </c>
      <c r="T55" s="5">
        <f t="shared" si="62"/>
        <v>-8</v>
      </c>
      <c r="U55" s="6">
        <f t="shared" si="63"/>
        <v>0</v>
      </c>
      <c r="V55" s="4"/>
      <c r="W55" s="5">
        <f>8</f>
        <v>8</v>
      </c>
      <c r="X55" s="5">
        <f t="shared" si="64"/>
        <v>-8</v>
      </c>
      <c r="Y55" s="6">
        <f t="shared" si="65"/>
        <v>0</v>
      </c>
      <c r="Z55" s="4"/>
      <c r="AA55" s="5">
        <f>8</f>
        <v>8</v>
      </c>
      <c r="AB55" s="5">
        <f t="shared" si="66"/>
        <v>-8</v>
      </c>
      <c r="AC55" s="6">
        <f t="shared" si="67"/>
        <v>0</v>
      </c>
      <c r="AD55" s="4"/>
      <c r="AE55" s="5">
        <f>8</f>
        <v>8</v>
      </c>
      <c r="AF55" s="5">
        <f t="shared" si="68"/>
        <v>-8</v>
      </c>
      <c r="AG55" s="6">
        <f t="shared" si="69"/>
        <v>0</v>
      </c>
      <c r="AH55" s="4"/>
      <c r="AI55" s="5">
        <f>8</f>
        <v>8</v>
      </c>
      <c r="AJ55" s="5">
        <f t="shared" si="70"/>
        <v>-8</v>
      </c>
      <c r="AK55" s="6">
        <f t="shared" si="71"/>
        <v>0</v>
      </c>
      <c r="AL55" s="4"/>
      <c r="AM55" s="5">
        <f>8</f>
        <v>8</v>
      </c>
      <c r="AN55" s="5">
        <f t="shared" si="72"/>
        <v>-8</v>
      </c>
      <c r="AO55" s="6">
        <f t="shared" si="73"/>
        <v>0</v>
      </c>
      <c r="AP55" s="4"/>
      <c r="AQ55" s="5">
        <f>8</f>
        <v>8</v>
      </c>
      <c r="AR55" s="5">
        <f t="shared" si="74"/>
        <v>-8</v>
      </c>
      <c r="AS55" s="6">
        <f t="shared" si="75"/>
        <v>0</v>
      </c>
      <c r="AT55" s="4"/>
      <c r="AU55" s="5">
        <f>12</f>
        <v>12</v>
      </c>
      <c r="AV55" s="5">
        <f t="shared" si="76"/>
        <v>-12</v>
      </c>
      <c r="AW55" s="6">
        <f t="shared" si="77"/>
        <v>0</v>
      </c>
      <c r="AX55" s="77">
        <v>110</v>
      </c>
      <c r="AY55" s="96">
        <v>0</v>
      </c>
      <c r="AZ55" s="9">
        <v>100</v>
      </c>
      <c r="BA55" s="9">
        <v>0</v>
      </c>
      <c r="BB55" s="9">
        <v>100</v>
      </c>
      <c r="BC55" s="123">
        <v>0</v>
      </c>
      <c r="BD55" s="123">
        <v>125</v>
      </c>
      <c r="BE55" s="123">
        <v>130</v>
      </c>
      <c r="BF55" s="115">
        <v>130</v>
      </c>
      <c r="BG55" s="115">
        <v>130</v>
      </c>
      <c r="BH55" s="115">
        <v>130</v>
      </c>
      <c r="BI55" s="126">
        <v>130</v>
      </c>
      <c r="BL55" s="135"/>
    </row>
    <row r="56" spans="1:72" x14ac:dyDescent="0.25">
      <c r="A56" s="3" t="s">
        <v>33</v>
      </c>
      <c r="B56" s="4"/>
      <c r="C56" s="5">
        <f>258</f>
        <v>258</v>
      </c>
      <c r="D56" s="5">
        <f t="shared" si="54"/>
        <v>-258</v>
      </c>
      <c r="E56" s="6">
        <f t="shared" si="55"/>
        <v>0</v>
      </c>
      <c r="F56" s="4"/>
      <c r="G56" s="5">
        <f>258</f>
        <v>258</v>
      </c>
      <c r="H56" s="5">
        <f t="shared" si="56"/>
        <v>-258</v>
      </c>
      <c r="I56" s="6">
        <f t="shared" si="57"/>
        <v>0</v>
      </c>
      <c r="J56" s="5">
        <f>201.09</f>
        <v>201.09</v>
      </c>
      <c r="K56" s="5">
        <f>258</f>
        <v>258</v>
      </c>
      <c r="L56" s="5">
        <f t="shared" si="58"/>
        <v>-56.91</v>
      </c>
      <c r="M56" s="6">
        <f t="shared" si="59"/>
        <v>0.77941860465116275</v>
      </c>
      <c r="N56" s="5">
        <f>398.43</f>
        <v>398.43</v>
      </c>
      <c r="O56" s="5">
        <f>258</f>
        <v>258</v>
      </c>
      <c r="P56" s="5">
        <f t="shared" si="60"/>
        <v>140.43</v>
      </c>
      <c r="Q56" s="6">
        <f t="shared" si="61"/>
        <v>1.5443023255813955</v>
      </c>
      <c r="R56" s="4"/>
      <c r="S56" s="5">
        <f>258</f>
        <v>258</v>
      </c>
      <c r="T56" s="5">
        <f t="shared" si="62"/>
        <v>-258</v>
      </c>
      <c r="U56" s="6">
        <f t="shared" si="63"/>
        <v>0</v>
      </c>
      <c r="V56" s="4"/>
      <c r="W56" s="5">
        <f>258</f>
        <v>258</v>
      </c>
      <c r="X56" s="5">
        <f t="shared" si="64"/>
        <v>-258</v>
      </c>
      <c r="Y56" s="6">
        <f t="shared" si="65"/>
        <v>0</v>
      </c>
      <c r="Z56" s="4"/>
      <c r="AA56" s="5">
        <f>258</f>
        <v>258</v>
      </c>
      <c r="AB56" s="5">
        <f t="shared" si="66"/>
        <v>-258</v>
      </c>
      <c r="AC56" s="6">
        <f t="shared" si="67"/>
        <v>0</v>
      </c>
      <c r="AD56" s="4"/>
      <c r="AE56" s="5">
        <f>258</f>
        <v>258</v>
      </c>
      <c r="AF56" s="5">
        <f t="shared" si="68"/>
        <v>-258</v>
      </c>
      <c r="AG56" s="6">
        <f t="shared" si="69"/>
        <v>0</v>
      </c>
      <c r="AH56" s="4"/>
      <c r="AI56" s="5">
        <f>258</f>
        <v>258</v>
      </c>
      <c r="AJ56" s="5">
        <f t="shared" si="70"/>
        <v>-258</v>
      </c>
      <c r="AK56" s="6">
        <f t="shared" si="71"/>
        <v>0</v>
      </c>
      <c r="AL56" s="4"/>
      <c r="AM56" s="5">
        <f>258</f>
        <v>258</v>
      </c>
      <c r="AN56" s="5">
        <f t="shared" si="72"/>
        <v>-258</v>
      </c>
      <c r="AO56" s="6">
        <f t="shared" si="73"/>
        <v>0</v>
      </c>
      <c r="AP56" s="4"/>
      <c r="AQ56" s="5">
        <f>258</f>
        <v>258</v>
      </c>
      <c r="AR56" s="5">
        <f t="shared" si="74"/>
        <v>-258</v>
      </c>
      <c r="AS56" s="6">
        <f t="shared" si="75"/>
        <v>0</v>
      </c>
      <c r="AT56" s="4"/>
      <c r="AU56" s="5">
        <f>262</f>
        <v>262</v>
      </c>
      <c r="AV56" s="5">
        <f t="shared" si="76"/>
        <v>-262</v>
      </c>
      <c r="AW56" s="6">
        <f t="shared" si="77"/>
        <v>0</v>
      </c>
      <c r="AX56" s="77">
        <v>600</v>
      </c>
      <c r="AY56" s="96">
        <v>1648.96</v>
      </c>
      <c r="AZ56" s="9">
        <v>3100</v>
      </c>
      <c r="BA56" s="9">
        <v>940</v>
      </c>
      <c r="BB56" s="9">
        <v>3100</v>
      </c>
      <c r="BC56" s="123">
        <v>675</v>
      </c>
      <c r="BD56" s="123">
        <v>3200</v>
      </c>
      <c r="BE56" s="123">
        <v>3200</v>
      </c>
      <c r="BF56" s="123">
        <f>+BE56*1.05</f>
        <v>3360</v>
      </c>
      <c r="BG56" s="123">
        <f>+BF56*1.05</f>
        <v>3528</v>
      </c>
      <c r="BH56" s="123">
        <f>+BG56*1.05</f>
        <v>3704.4</v>
      </c>
      <c r="BI56" s="128">
        <v>3500</v>
      </c>
    </row>
    <row r="57" spans="1:72" x14ac:dyDescent="0.25">
      <c r="A57" s="3" t="s">
        <v>43</v>
      </c>
      <c r="B57" s="4"/>
      <c r="C57" s="5"/>
      <c r="D57" s="5"/>
      <c r="E57" s="6"/>
      <c r="F57" s="4"/>
      <c r="G57" s="5"/>
      <c r="H57" s="5"/>
      <c r="I57" s="6"/>
      <c r="J57" s="5"/>
      <c r="K57" s="5"/>
      <c r="L57" s="5"/>
      <c r="M57" s="6"/>
      <c r="N57" s="5"/>
      <c r="O57" s="5"/>
      <c r="P57" s="5"/>
      <c r="Q57" s="6"/>
      <c r="R57" s="4"/>
      <c r="S57" s="5"/>
      <c r="T57" s="5"/>
      <c r="U57" s="6"/>
      <c r="V57" s="4"/>
      <c r="W57" s="5"/>
      <c r="X57" s="5"/>
      <c r="Y57" s="6"/>
      <c r="Z57" s="4"/>
      <c r="AA57" s="5"/>
      <c r="AB57" s="5"/>
      <c r="AC57" s="6"/>
      <c r="AD57" s="4"/>
      <c r="AE57" s="5"/>
      <c r="AF57" s="5"/>
      <c r="AG57" s="6"/>
      <c r="AH57" s="4"/>
      <c r="AI57" s="5"/>
      <c r="AJ57" s="5"/>
      <c r="AK57" s="6"/>
      <c r="AL57" s="4"/>
      <c r="AM57" s="5"/>
      <c r="AN57" s="5"/>
      <c r="AO57" s="6"/>
      <c r="AP57" s="4"/>
      <c r="AQ57" s="5"/>
      <c r="AR57" s="5"/>
      <c r="AS57" s="6"/>
      <c r="AT57" s="4"/>
      <c r="AU57" s="5"/>
      <c r="AV57" s="5"/>
      <c r="AW57" s="6"/>
      <c r="AX57" s="77"/>
      <c r="AY57" s="8"/>
      <c r="AZ57" s="9"/>
      <c r="BA57" s="9"/>
      <c r="BB57" s="9"/>
      <c r="BC57" s="123"/>
      <c r="BD57" s="123"/>
      <c r="BE57" s="123"/>
      <c r="BF57" s="129"/>
      <c r="BG57" s="129"/>
      <c r="BH57" s="129"/>
      <c r="BI57" s="127"/>
    </row>
    <row r="58" spans="1:72" x14ac:dyDescent="0.25">
      <c r="A58" s="31" t="s">
        <v>71</v>
      </c>
      <c r="B58" s="5">
        <f>475.93</f>
        <v>475.93</v>
      </c>
      <c r="C58" s="5">
        <f>145</f>
        <v>145</v>
      </c>
      <c r="D58" s="5">
        <f t="shared" si="54"/>
        <v>330.93</v>
      </c>
      <c r="E58" s="6">
        <f t="shared" si="55"/>
        <v>3.2822758620689654</v>
      </c>
      <c r="F58" s="4"/>
      <c r="G58" s="5">
        <f>145</f>
        <v>145</v>
      </c>
      <c r="H58" s="5">
        <f t="shared" si="56"/>
        <v>-145</v>
      </c>
      <c r="I58" s="6">
        <f t="shared" si="57"/>
        <v>0</v>
      </c>
      <c r="J58" s="4"/>
      <c r="K58" s="5">
        <f>145</f>
        <v>145</v>
      </c>
      <c r="L58" s="5">
        <f t="shared" si="58"/>
        <v>-145</v>
      </c>
      <c r="M58" s="6">
        <f t="shared" si="59"/>
        <v>0</v>
      </c>
      <c r="N58" s="5">
        <f>475.92</f>
        <v>475.92</v>
      </c>
      <c r="O58" s="5">
        <f>145</f>
        <v>145</v>
      </c>
      <c r="P58" s="5">
        <f t="shared" si="60"/>
        <v>330.92</v>
      </c>
      <c r="Q58" s="6">
        <f t="shared" si="61"/>
        <v>3.2822068965517244</v>
      </c>
      <c r="R58" s="4"/>
      <c r="S58" s="5">
        <f>145</f>
        <v>145</v>
      </c>
      <c r="T58" s="5">
        <f t="shared" si="62"/>
        <v>-145</v>
      </c>
      <c r="U58" s="6">
        <f t="shared" si="63"/>
        <v>0</v>
      </c>
      <c r="V58" s="4"/>
      <c r="W58" s="5">
        <f>145</f>
        <v>145</v>
      </c>
      <c r="X58" s="5">
        <f t="shared" si="64"/>
        <v>-145</v>
      </c>
      <c r="Y58" s="6">
        <f t="shared" si="65"/>
        <v>0</v>
      </c>
      <c r="Z58" s="4"/>
      <c r="AA58" s="5">
        <f>145</f>
        <v>145</v>
      </c>
      <c r="AB58" s="5">
        <f t="shared" si="66"/>
        <v>-145</v>
      </c>
      <c r="AC58" s="6">
        <f t="shared" si="67"/>
        <v>0</v>
      </c>
      <c r="AD58" s="4"/>
      <c r="AE58" s="5">
        <f>145</f>
        <v>145</v>
      </c>
      <c r="AF58" s="5">
        <f t="shared" si="68"/>
        <v>-145</v>
      </c>
      <c r="AG58" s="6">
        <f t="shared" si="69"/>
        <v>0</v>
      </c>
      <c r="AH58" s="4"/>
      <c r="AI58" s="5">
        <f>145</f>
        <v>145</v>
      </c>
      <c r="AJ58" s="5">
        <f t="shared" si="70"/>
        <v>-145</v>
      </c>
      <c r="AK58" s="6">
        <f t="shared" si="71"/>
        <v>0</v>
      </c>
      <c r="AL58" s="4"/>
      <c r="AM58" s="5">
        <f>145</f>
        <v>145</v>
      </c>
      <c r="AN58" s="5">
        <f t="shared" si="72"/>
        <v>-145</v>
      </c>
      <c r="AO58" s="6">
        <f t="shared" si="73"/>
        <v>0</v>
      </c>
      <c r="AP58" s="4"/>
      <c r="AQ58" s="5">
        <f>145</f>
        <v>145</v>
      </c>
      <c r="AR58" s="5">
        <f t="shared" si="74"/>
        <v>-145</v>
      </c>
      <c r="AS58" s="6">
        <f t="shared" si="75"/>
        <v>0</v>
      </c>
      <c r="AT58" s="4"/>
      <c r="AU58" s="5">
        <f>155</f>
        <v>155</v>
      </c>
      <c r="AV58" s="5">
        <f t="shared" si="76"/>
        <v>-155</v>
      </c>
      <c r="AW58" s="6">
        <f t="shared" si="77"/>
        <v>0</v>
      </c>
      <c r="AX58" s="77">
        <v>1904</v>
      </c>
      <c r="AY58" s="96">
        <v>1903.69</v>
      </c>
      <c r="AZ58" s="9">
        <v>1900</v>
      </c>
      <c r="BA58" s="9">
        <v>2466.7600000000002</v>
      </c>
      <c r="BB58" s="9">
        <v>1900</v>
      </c>
      <c r="BC58" s="123">
        <v>2435</v>
      </c>
      <c r="BD58" s="123">
        <v>2100</v>
      </c>
      <c r="BE58" s="123">
        <v>2500</v>
      </c>
      <c r="BF58" s="123">
        <f>+BE58*1.05</f>
        <v>2625</v>
      </c>
      <c r="BG58" s="123">
        <f>+BF58*1.05</f>
        <v>2756.25</v>
      </c>
      <c r="BH58" s="123">
        <f>+BG58*1.05</f>
        <v>2894.0625</v>
      </c>
      <c r="BI58" s="128">
        <v>2600</v>
      </c>
    </row>
    <row r="59" spans="1:72" x14ac:dyDescent="0.25">
      <c r="A59" s="32" t="s">
        <v>82</v>
      </c>
      <c r="B59" s="34"/>
      <c r="C59" s="34"/>
      <c r="D59" s="34"/>
      <c r="E59" s="35"/>
      <c r="F59" s="33"/>
      <c r="G59" s="34"/>
      <c r="H59" s="34"/>
      <c r="I59" s="35"/>
      <c r="J59" s="33"/>
      <c r="K59" s="34"/>
      <c r="L59" s="34"/>
      <c r="M59" s="35"/>
      <c r="N59" s="34"/>
      <c r="O59" s="34"/>
      <c r="P59" s="34"/>
      <c r="Q59" s="35"/>
      <c r="R59" s="33"/>
      <c r="S59" s="34"/>
      <c r="T59" s="34"/>
      <c r="U59" s="35"/>
      <c r="V59" s="33"/>
      <c r="W59" s="34"/>
      <c r="X59" s="34"/>
      <c r="Y59" s="35"/>
      <c r="Z59" s="33"/>
      <c r="AA59" s="34"/>
      <c r="AB59" s="34"/>
      <c r="AC59" s="35"/>
      <c r="AD59" s="33"/>
      <c r="AE59" s="34"/>
      <c r="AF59" s="34"/>
      <c r="AG59" s="35"/>
      <c r="AH59" s="33"/>
      <c r="AI59" s="34"/>
      <c r="AJ59" s="34"/>
      <c r="AK59" s="35"/>
      <c r="AL59" s="33"/>
      <c r="AM59" s="34"/>
      <c r="AN59" s="34"/>
      <c r="AO59" s="35"/>
      <c r="AP59" s="33"/>
      <c r="AQ59" s="34"/>
      <c r="AR59" s="34"/>
      <c r="AS59" s="35"/>
      <c r="AT59" s="33"/>
      <c r="AU59" s="34"/>
      <c r="AV59" s="34"/>
      <c r="AW59" s="35"/>
      <c r="AX59" s="77">
        <v>1636</v>
      </c>
      <c r="AY59" s="96">
        <v>4305.5600000000004</v>
      </c>
      <c r="AZ59" s="9">
        <v>1250</v>
      </c>
      <c r="BA59" s="9">
        <v>3699.24</v>
      </c>
      <c r="BB59" s="9">
        <v>3000</v>
      </c>
      <c r="BC59" s="123">
        <v>518</v>
      </c>
      <c r="BD59" s="123">
        <v>4100</v>
      </c>
      <c r="BE59" s="123">
        <v>4300</v>
      </c>
      <c r="BF59" s="123">
        <v>4300</v>
      </c>
      <c r="BG59" s="123">
        <v>4300</v>
      </c>
      <c r="BH59" s="123">
        <v>4300</v>
      </c>
      <c r="BI59" s="128">
        <v>4300</v>
      </c>
    </row>
    <row r="60" spans="1:72" x14ac:dyDescent="0.25">
      <c r="A60" s="3" t="s">
        <v>34</v>
      </c>
      <c r="B60" s="5">
        <f>516.5</f>
        <v>516.5</v>
      </c>
      <c r="C60" s="5">
        <f>229</f>
        <v>229</v>
      </c>
      <c r="D60" s="5">
        <f t="shared" si="54"/>
        <v>287.5</v>
      </c>
      <c r="E60" s="6">
        <f t="shared" si="55"/>
        <v>2.2554585152838427</v>
      </c>
      <c r="F60" s="4"/>
      <c r="G60" s="5">
        <f>229</f>
        <v>229</v>
      </c>
      <c r="H60" s="5">
        <f t="shared" si="56"/>
        <v>-229</v>
      </c>
      <c r="I60" s="6">
        <f t="shared" si="57"/>
        <v>0</v>
      </c>
      <c r="J60" s="5">
        <f>258.84</f>
        <v>258.83999999999997</v>
      </c>
      <c r="K60" s="5">
        <f>229</f>
        <v>229</v>
      </c>
      <c r="L60" s="5">
        <f t="shared" si="58"/>
        <v>29.839999999999975</v>
      </c>
      <c r="M60" s="6">
        <f t="shared" si="59"/>
        <v>1.130305676855895</v>
      </c>
      <c r="N60" s="5">
        <f>517.44</f>
        <v>517.44000000000005</v>
      </c>
      <c r="O60" s="5">
        <f>229</f>
        <v>229</v>
      </c>
      <c r="P60" s="5">
        <f t="shared" si="60"/>
        <v>288.44000000000005</v>
      </c>
      <c r="Q60" s="6">
        <f t="shared" si="61"/>
        <v>2.259563318777293</v>
      </c>
      <c r="R60" s="4"/>
      <c r="S60" s="5">
        <f>229</f>
        <v>229</v>
      </c>
      <c r="T60" s="5">
        <f t="shared" si="62"/>
        <v>-229</v>
      </c>
      <c r="U60" s="6">
        <f t="shared" si="63"/>
        <v>0</v>
      </c>
      <c r="V60" s="5">
        <f>258.98</f>
        <v>258.98</v>
      </c>
      <c r="W60" s="5">
        <f>229</f>
        <v>229</v>
      </c>
      <c r="X60" s="5">
        <f t="shared" si="64"/>
        <v>29.980000000000018</v>
      </c>
      <c r="Y60" s="6">
        <f t="shared" si="65"/>
        <v>1.1309170305676857</v>
      </c>
      <c r="Z60" s="4"/>
      <c r="AA60" s="5">
        <f>229</f>
        <v>229</v>
      </c>
      <c r="AB60" s="5">
        <f t="shared" si="66"/>
        <v>-229</v>
      </c>
      <c r="AC60" s="6">
        <f t="shared" si="67"/>
        <v>0</v>
      </c>
      <c r="AD60" s="4"/>
      <c r="AE60" s="5">
        <f>229</f>
        <v>229</v>
      </c>
      <c r="AF60" s="5">
        <f t="shared" si="68"/>
        <v>-229</v>
      </c>
      <c r="AG60" s="6">
        <f t="shared" si="69"/>
        <v>0</v>
      </c>
      <c r="AH60" s="4"/>
      <c r="AI60" s="5">
        <f>229</f>
        <v>229</v>
      </c>
      <c r="AJ60" s="5">
        <f t="shared" si="70"/>
        <v>-229</v>
      </c>
      <c r="AK60" s="6">
        <f t="shared" si="71"/>
        <v>0</v>
      </c>
      <c r="AL60" s="4"/>
      <c r="AM60" s="5">
        <f>229</f>
        <v>229</v>
      </c>
      <c r="AN60" s="5">
        <f t="shared" si="72"/>
        <v>-229</v>
      </c>
      <c r="AO60" s="6">
        <f t="shared" si="73"/>
        <v>0</v>
      </c>
      <c r="AP60" s="4"/>
      <c r="AQ60" s="5">
        <f>229</f>
        <v>229</v>
      </c>
      <c r="AR60" s="5">
        <f t="shared" si="74"/>
        <v>-229</v>
      </c>
      <c r="AS60" s="6">
        <f t="shared" si="75"/>
        <v>0</v>
      </c>
      <c r="AT60" s="4"/>
      <c r="AU60" s="5">
        <f>231</f>
        <v>231</v>
      </c>
      <c r="AV60" s="5">
        <f t="shared" si="76"/>
        <v>-231</v>
      </c>
      <c r="AW60" s="6">
        <f t="shared" si="77"/>
        <v>0</v>
      </c>
      <c r="AX60" s="77">
        <v>3455</v>
      </c>
      <c r="AY60" s="96">
        <v>4002.63</v>
      </c>
      <c r="AZ60" s="9">
        <v>3500</v>
      </c>
      <c r="BA60" s="9">
        <v>5104.58</v>
      </c>
      <c r="BB60" s="9">
        <v>4500</v>
      </c>
      <c r="BC60" s="123">
        <v>8305</v>
      </c>
      <c r="BD60" s="123">
        <v>7200</v>
      </c>
      <c r="BE60" s="123">
        <v>7900</v>
      </c>
      <c r="BF60" s="123">
        <v>8000</v>
      </c>
      <c r="BG60" s="123">
        <v>8100</v>
      </c>
      <c r="BH60" s="123">
        <v>8200</v>
      </c>
      <c r="BI60" s="128">
        <v>8300</v>
      </c>
    </row>
    <row r="61" spans="1:72" x14ac:dyDescent="0.25">
      <c r="A61" s="3" t="s">
        <v>35</v>
      </c>
      <c r="B61" s="4"/>
      <c r="C61" s="4"/>
      <c r="D61" s="5">
        <f t="shared" si="54"/>
        <v>0</v>
      </c>
      <c r="E61" s="6" t="str">
        <f t="shared" si="55"/>
        <v/>
      </c>
      <c r="F61" s="4"/>
      <c r="G61" s="4"/>
      <c r="H61" s="5">
        <f t="shared" si="56"/>
        <v>0</v>
      </c>
      <c r="I61" s="6" t="str">
        <f t="shared" si="57"/>
        <v/>
      </c>
      <c r="J61" s="4"/>
      <c r="K61" s="4"/>
      <c r="L61" s="5">
        <f t="shared" si="58"/>
        <v>0</v>
      </c>
      <c r="M61" s="6" t="str">
        <f t="shared" si="59"/>
        <v/>
      </c>
      <c r="N61" s="4"/>
      <c r="O61" s="4"/>
      <c r="P61" s="5">
        <f t="shared" si="60"/>
        <v>0</v>
      </c>
      <c r="Q61" s="6" t="str">
        <f t="shared" si="61"/>
        <v/>
      </c>
      <c r="R61" s="4"/>
      <c r="S61" s="4"/>
      <c r="T61" s="5">
        <f t="shared" si="62"/>
        <v>0</v>
      </c>
      <c r="U61" s="6" t="str">
        <f t="shared" si="63"/>
        <v/>
      </c>
      <c r="V61" s="4"/>
      <c r="W61" s="4"/>
      <c r="X61" s="5">
        <f t="shared" si="64"/>
        <v>0</v>
      </c>
      <c r="Y61" s="6" t="str">
        <f t="shared" si="65"/>
        <v/>
      </c>
      <c r="Z61" s="4"/>
      <c r="AA61" s="4"/>
      <c r="AB61" s="5">
        <f t="shared" si="66"/>
        <v>0</v>
      </c>
      <c r="AC61" s="6" t="str">
        <f t="shared" si="67"/>
        <v/>
      </c>
      <c r="AD61" s="4"/>
      <c r="AE61" s="4"/>
      <c r="AF61" s="5">
        <f t="shared" si="68"/>
        <v>0</v>
      </c>
      <c r="AG61" s="6" t="str">
        <f t="shared" si="69"/>
        <v/>
      </c>
      <c r="AH61" s="4"/>
      <c r="AI61" s="4"/>
      <c r="AJ61" s="5">
        <f t="shared" si="70"/>
        <v>0</v>
      </c>
      <c r="AK61" s="6" t="str">
        <f t="shared" si="71"/>
        <v/>
      </c>
      <c r="AL61" s="4"/>
      <c r="AM61" s="4"/>
      <c r="AN61" s="5">
        <f t="shared" si="72"/>
        <v>0</v>
      </c>
      <c r="AO61" s="6" t="str">
        <f t="shared" si="73"/>
        <v/>
      </c>
      <c r="AP61" s="4"/>
      <c r="AQ61" s="4"/>
      <c r="AR61" s="5">
        <f t="shared" si="74"/>
        <v>0</v>
      </c>
      <c r="AS61" s="6" t="str">
        <f t="shared" si="75"/>
        <v/>
      </c>
      <c r="AT61" s="4"/>
      <c r="AU61" s="4"/>
      <c r="AV61" s="5">
        <f t="shared" si="76"/>
        <v>0</v>
      </c>
      <c r="AW61" s="6" t="str">
        <f t="shared" si="77"/>
        <v/>
      </c>
      <c r="AX61" s="77"/>
      <c r="AY61" s="96"/>
      <c r="AZ61" s="9"/>
      <c r="BA61" s="9"/>
      <c r="BB61" s="9"/>
      <c r="BC61" s="123"/>
      <c r="BD61" s="123"/>
      <c r="BE61" s="123"/>
      <c r="BF61" s="129"/>
      <c r="BG61" s="129"/>
      <c r="BH61" s="129"/>
      <c r="BI61" s="127"/>
    </row>
    <row r="62" spans="1:72" x14ac:dyDescent="0.25">
      <c r="A62" s="31" t="s">
        <v>72</v>
      </c>
      <c r="B62" s="4"/>
      <c r="C62" s="5">
        <f>83</f>
        <v>83</v>
      </c>
      <c r="D62" s="5">
        <f t="shared" si="54"/>
        <v>-83</v>
      </c>
      <c r="E62" s="6">
        <f t="shared" si="55"/>
        <v>0</v>
      </c>
      <c r="F62" s="4"/>
      <c r="G62" s="5">
        <f>83</f>
        <v>83</v>
      </c>
      <c r="H62" s="5">
        <f t="shared" si="56"/>
        <v>-83</v>
      </c>
      <c r="I62" s="6">
        <f t="shared" si="57"/>
        <v>0</v>
      </c>
      <c r="J62" s="4"/>
      <c r="K62" s="5">
        <f>83</f>
        <v>83</v>
      </c>
      <c r="L62" s="5">
        <f t="shared" si="58"/>
        <v>-83</v>
      </c>
      <c r="M62" s="6">
        <f t="shared" si="59"/>
        <v>0</v>
      </c>
      <c r="N62" s="4"/>
      <c r="O62" s="5">
        <f>83</f>
        <v>83</v>
      </c>
      <c r="P62" s="5">
        <f t="shared" si="60"/>
        <v>-83</v>
      </c>
      <c r="Q62" s="6">
        <f t="shared" si="61"/>
        <v>0</v>
      </c>
      <c r="R62" s="4"/>
      <c r="S62" s="5">
        <f>83</f>
        <v>83</v>
      </c>
      <c r="T62" s="5">
        <f t="shared" si="62"/>
        <v>-83</v>
      </c>
      <c r="U62" s="6">
        <f t="shared" si="63"/>
        <v>0</v>
      </c>
      <c r="V62" s="4"/>
      <c r="W62" s="5">
        <f>83</f>
        <v>83</v>
      </c>
      <c r="X62" s="5">
        <f t="shared" si="64"/>
        <v>-83</v>
      </c>
      <c r="Y62" s="6">
        <f t="shared" si="65"/>
        <v>0</v>
      </c>
      <c r="Z62" s="4"/>
      <c r="AA62" s="5">
        <f>83</f>
        <v>83</v>
      </c>
      <c r="AB62" s="5">
        <f t="shared" si="66"/>
        <v>-83</v>
      </c>
      <c r="AC62" s="6">
        <f t="shared" si="67"/>
        <v>0</v>
      </c>
      <c r="AD62" s="4"/>
      <c r="AE62" s="5">
        <f>83</f>
        <v>83</v>
      </c>
      <c r="AF62" s="5">
        <f t="shared" si="68"/>
        <v>-83</v>
      </c>
      <c r="AG62" s="6">
        <f t="shared" si="69"/>
        <v>0</v>
      </c>
      <c r="AH62" s="4"/>
      <c r="AI62" s="5">
        <f>83</f>
        <v>83</v>
      </c>
      <c r="AJ62" s="5">
        <f t="shared" si="70"/>
        <v>-83</v>
      </c>
      <c r="AK62" s="6">
        <f t="shared" si="71"/>
        <v>0</v>
      </c>
      <c r="AL62" s="4"/>
      <c r="AM62" s="5">
        <f>83</f>
        <v>83</v>
      </c>
      <c r="AN62" s="5">
        <f t="shared" si="72"/>
        <v>-83</v>
      </c>
      <c r="AO62" s="6">
        <f t="shared" si="73"/>
        <v>0</v>
      </c>
      <c r="AP62" s="4"/>
      <c r="AQ62" s="5">
        <f>83</f>
        <v>83</v>
      </c>
      <c r="AR62" s="5">
        <f t="shared" si="74"/>
        <v>-83</v>
      </c>
      <c r="AS62" s="6">
        <f t="shared" si="75"/>
        <v>0</v>
      </c>
      <c r="AT62" s="4"/>
      <c r="AU62" s="5">
        <f>87</f>
        <v>87</v>
      </c>
      <c r="AV62" s="5">
        <f t="shared" si="76"/>
        <v>-87</v>
      </c>
      <c r="AW62" s="6">
        <f t="shared" si="77"/>
        <v>0</v>
      </c>
      <c r="AX62" s="77">
        <v>161</v>
      </c>
      <c r="AY62" s="96">
        <v>520</v>
      </c>
      <c r="AZ62" s="9">
        <v>1000</v>
      </c>
      <c r="BA62" s="9">
        <v>0</v>
      </c>
      <c r="BB62" s="9">
        <v>1000</v>
      </c>
      <c r="BC62" s="123">
        <v>0</v>
      </c>
      <c r="BD62" s="123">
        <v>1050</v>
      </c>
      <c r="BE62" s="123">
        <v>1100</v>
      </c>
      <c r="BF62" s="123">
        <v>1100</v>
      </c>
      <c r="BG62" s="123">
        <v>1100</v>
      </c>
      <c r="BH62" s="123">
        <v>1150</v>
      </c>
      <c r="BI62" s="128">
        <v>1150</v>
      </c>
    </row>
    <row r="63" spans="1:72" x14ac:dyDescent="0.25">
      <c r="A63" s="31" t="s">
        <v>73</v>
      </c>
      <c r="B63" s="4"/>
      <c r="C63" s="5">
        <f>583</f>
        <v>583</v>
      </c>
      <c r="D63" s="5">
        <f t="shared" si="54"/>
        <v>-583</v>
      </c>
      <c r="E63" s="6">
        <f t="shared" si="55"/>
        <v>0</v>
      </c>
      <c r="F63" s="4"/>
      <c r="G63" s="5">
        <f>583</f>
        <v>583</v>
      </c>
      <c r="H63" s="5">
        <f t="shared" si="56"/>
        <v>-583</v>
      </c>
      <c r="I63" s="6">
        <f t="shared" si="57"/>
        <v>0</v>
      </c>
      <c r="J63" s="4"/>
      <c r="K63" s="5">
        <f>583</f>
        <v>583</v>
      </c>
      <c r="L63" s="5">
        <f t="shared" si="58"/>
        <v>-583</v>
      </c>
      <c r="M63" s="6">
        <f t="shared" si="59"/>
        <v>0</v>
      </c>
      <c r="N63" s="4"/>
      <c r="O63" s="5">
        <f>583</f>
        <v>583</v>
      </c>
      <c r="P63" s="5">
        <f t="shared" si="60"/>
        <v>-583</v>
      </c>
      <c r="Q63" s="6">
        <f t="shared" si="61"/>
        <v>0</v>
      </c>
      <c r="R63" s="4"/>
      <c r="S63" s="5">
        <f>583</f>
        <v>583</v>
      </c>
      <c r="T63" s="5">
        <f t="shared" si="62"/>
        <v>-583</v>
      </c>
      <c r="U63" s="6">
        <f t="shared" si="63"/>
        <v>0</v>
      </c>
      <c r="V63" s="4"/>
      <c r="W63" s="5">
        <f>583</f>
        <v>583</v>
      </c>
      <c r="X63" s="5">
        <f t="shared" si="64"/>
        <v>-583</v>
      </c>
      <c r="Y63" s="6">
        <f t="shared" si="65"/>
        <v>0</v>
      </c>
      <c r="Z63" s="4"/>
      <c r="AA63" s="5">
        <f>583</f>
        <v>583</v>
      </c>
      <c r="AB63" s="5">
        <f t="shared" si="66"/>
        <v>-583</v>
      </c>
      <c r="AC63" s="6">
        <f t="shared" si="67"/>
        <v>0</v>
      </c>
      <c r="AD63" s="4"/>
      <c r="AE63" s="5">
        <f>583</f>
        <v>583</v>
      </c>
      <c r="AF63" s="5">
        <f t="shared" si="68"/>
        <v>-583</v>
      </c>
      <c r="AG63" s="6">
        <f t="shared" si="69"/>
        <v>0</v>
      </c>
      <c r="AH63" s="4"/>
      <c r="AI63" s="5">
        <f>583</f>
        <v>583</v>
      </c>
      <c r="AJ63" s="5">
        <f t="shared" si="70"/>
        <v>-583</v>
      </c>
      <c r="AK63" s="6">
        <f t="shared" si="71"/>
        <v>0</v>
      </c>
      <c r="AL63" s="4"/>
      <c r="AM63" s="5">
        <f>583</f>
        <v>583</v>
      </c>
      <c r="AN63" s="5">
        <f t="shared" si="72"/>
        <v>-583</v>
      </c>
      <c r="AO63" s="6">
        <f t="shared" si="73"/>
        <v>0</v>
      </c>
      <c r="AP63" s="4"/>
      <c r="AQ63" s="5">
        <f>583</f>
        <v>583</v>
      </c>
      <c r="AR63" s="5">
        <f t="shared" si="74"/>
        <v>-583</v>
      </c>
      <c r="AS63" s="6">
        <f t="shared" si="75"/>
        <v>0</v>
      </c>
      <c r="AT63" s="4"/>
      <c r="AU63" s="5">
        <f>587</f>
        <v>587</v>
      </c>
      <c r="AV63" s="5">
        <f t="shared" si="76"/>
        <v>-587</v>
      </c>
      <c r="AW63" s="6">
        <f t="shared" si="77"/>
        <v>0</v>
      </c>
      <c r="AX63" s="77">
        <v>3840</v>
      </c>
      <c r="AY63" s="96">
        <v>8235.83</v>
      </c>
      <c r="AZ63" s="9">
        <v>7800</v>
      </c>
      <c r="BA63" s="9">
        <v>4117.92</v>
      </c>
      <c r="BB63" s="9">
        <v>4000</v>
      </c>
      <c r="BC63" s="123">
        <v>0</v>
      </c>
      <c r="BD63" s="123">
        <v>5000</v>
      </c>
      <c r="BE63" s="123">
        <v>5450</v>
      </c>
      <c r="BF63" s="115">
        <v>5450</v>
      </c>
      <c r="BG63" s="115">
        <v>5500</v>
      </c>
      <c r="BH63" s="115">
        <v>5500</v>
      </c>
      <c r="BI63" s="126">
        <v>5550</v>
      </c>
    </row>
    <row r="64" spans="1:72" x14ac:dyDescent="0.25">
      <c r="A64" s="31" t="s">
        <v>74</v>
      </c>
      <c r="B64" s="4"/>
      <c r="C64" s="5">
        <f>208</f>
        <v>208</v>
      </c>
      <c r="D64" s="5">
        <f t="shared" si="54"/>
        <v>-208</v>
      </c>
      <c r="E64" s="6">
        <f t="shared" si="55"/>
        <v>0</v>
      </c>
      <c r="F64" s="5">
        <f>301.7</f>
        <v>301.7</v>
      </c>
      <c r="G64" s="5">
        <f>208</f>
        <v>208</v>
      </c>
      <c r="H64" s="5">
        <f t="shared" si="56"/>
        <v>93.699999999999989</v>
      </c>
      <c r="I64" s="6">
        <f t="shared" si="57"/>
        <v>1.4504807692307691</v>
      </c>
      <c r="J64" s="5">
        <f>228.87</f>
        <v>228.87</v>
      </c>
      <c r="K64" s="5">
        <f>208</f>
        <v>208</v>
      </c>
      <c r="L64" s="5">
        <f t="shared" si="58"/>
        <v>20.870000000000005</v>
      </c>
      <c r="M64" s="6">
        <f t="shared" si="59"/>
        <v>1.1003365384615384</v>
      </c>
      <c r="N64" s="4"/>
      <c r="O64" s="5">
        <f>208</f>
        <v>208</v>
      </c>
      <c r="P64" s="5">
        <f t="shared" si="60"/>
        <v>-208</v>
      </c>
      <c r="Q64" s="6">
        <f t="shared" si="61"/>
        <v>0</v>
      </c>
      <c r="R64" s="5">
        <f>208.06</f>
        <v>208.06</v>
      </c>
      <c r="S64" s="5">
        <f>208</f>
        <v>208</v>
      </c>
      <c r="T64" s="5">
        <f t="shared" si="62"/>
        <v>6.0000000000002274E-2</v>
      </c>
      <c r="U64" s="6">
        <f t="shared" si="63"/>
        <v>1.0002884615384615</v>
      </c>
      <c r="V64" s="5">
        <f>197.66</f>
        <v>197.66</v>
      </c>
      <c r="W64" s="5">
        <f>208</f>
        <v>208</v>
      </c>
      <c r="X64" s="5">
        <f t="shared" si="64"/>
        <v>-10.340000000000003</v>
      </c>
      <c r="Y64" s="6">
        <f t="shared" si="65"/>
        <v>0.95028846153846147</v>
      </c>
      <c r="Z64" s="4"/>
      <c r="AA64" s="5">
        <f>208</f>
        <v>208</v>
      </c>
      <c r="AB64" s="5">
        <f t="shared" si="66"/>
        <v>-208</v>
      </c>
      <c r="AC64" s="6">
        <f t="shared" si="67"/>
        <v>0</v>
      </c>
      <c r="AD64" s="4"/>
      <c r="AE64" s="5">
        <f>208</f>
        <v>208</v>
      </c>
      <c r="AF64" s="5">
        <f t="shared" si="68"/>
        <v>-208</v>
      </c>
      <c r="AG64" s="6">
        <f t="shared" si="69"/>
        <v>0</v>
      </c>
      <c r="AH64" s="4"/>
      <c r="AI64" s="5">
        <f>208</f>
        <v>208</v>
      </c>
      <c r="AJ64" s="5">
        <f t="shared" si="70"/>
        <v>-208</v>
      </c>
      <c r="AK64" s="6">
        <f t="shared" si="71"/>
        <v>0</v>
      </c>
      <c r="AL64" s="4"/>
      <c r="AM64" s="5">
        <f>208</f>
        <v>208</v>
      </c>
      <c r="AN64" s="5">
        <f t="shared" si="72"/>
        <v>-208</v>
      </c>
      <c r="AO64" s="6">
        <f t="shared" si="73"/>
        <v>0</v>
      </c>
      <c r="AP64" s="4"/>
      <c r="AQ64" s="5">
        <f>208</f>
        <v>208</v>
      </c>
      <c r="AR64" s="5">
        <f t="shared" si="74"/>
        <v>-208</v>
      </c>
      <c r="AS64" s="6">
        <f t="shared" si="75"/>
        <v>0</v>
      </c>
      <c r="AT64" s="4"/>
      <c r="AU64" s="5">
        <f>212</f>
        <v>212</v>
      </c>
      <c r="AV64" s="5">
        <f t="shared" si="76"/>
        <v>-212</v>
      </c>
      <c r="AW64" s="6">
        <f t="shared" si="77"/>
        <v>0</v>
      </c>
      <c r="AX64" s="77">
        <v>2298</v>
      </c>
      <c r="AY64" s="96">
        <v>1328.69</v>
      </c>
      <c r="AZ64" s="9">
        <v>2500</v>
      </c>
      <c r="BA64" s="9">
        <v>3371.05</v>
      </c>
      <c r="BB64" s="9">
        <v>2000</v>
      </c>
      <c r="BC64" s="123">
        <v>3166</v>
      </c>
      <c r="BD64" s="123">
        <v>3800</v>
      </c>
      <c r="BE64" s="123">
        <v>4000</v>
      </c>
      <c r="BF64" s="123">
        <v>4100</v>
      </c>
      <c r="BG64" s="123">
        <v>4150</v>
      </c>
      <c r="BH64" s="123">
        <v>4200</v>
      </c>
      <c r="BI64" s="128">
        <v>4250</v>
      </c>
      <c r="BL64" s="115"/>
      <c r="BM64" s="115"/>
      <c r="BN64" s="115"/>
      <c r="BO64" s="115"/>
      <c r="BP64" s="115"/>
      <c r="BQ64" s="115"/>
      <c r="BR64" s="115"/>
      <c r="BS64" s="115"/>
      <c r="BT64" s="115"/>
    </row>
    <row r="65" spans="1:72" x14ac:dyDescent="0.25">
      <c r="A65" s="3" t="s">
        <v>75</v>
      </c>
      <c r="B65" s="38"/>
      <c r="C65" s="38"/>
      <c r="D65" s="38"/>
      <c r="E65" s="39"/>
      <c r="F65" s="38"/>
      <c r="G65" s="38"/>
      <c r="H65" s="38"/>
      <c r="I65" s="39"/>
      <c r="J65" s="38"/>
      <c r="K65" s="38"/>
      <c r="L65" s="38"/>
      <c r="M65" s="39"/>
      <c r="N65" s="38"/>
      <c r="O65" s="38"/>
      <c r="P65" s="38"/>
      <c r="Q65" s="39"/>
      <c r="R65" s="38"/>
      <c r="S65" s="38"/>
      <c r="T65" s="38"/>
      <c r="U65" s="39"/>
      <c r="V65" s="38"/>
      <c r="W65" s="38"/>
      <c r="X65" s="38"/>
      <c r="Y65" s="39"/>
      <c r="Z65" s="38"/>
      <c r="AA65" s="38"/>
      <c r="AB65" s="38"/>
      <c r="AC65" s="39"/>
      <c r="AD65" s="38"/>
      <c r="AE65" s="38"/>
      <c r="AF65" s="38"/>
      <c r="AG65" s="39"/>
      <c r="AH65" s="38"/>
      <c r="AI65" s="38"/>
      <c r="AJ65" s="38"/>
      <c r="AK65" s="39"/>
      <c r="AL65" s="38"/>
      <c r="AM65" s="38"/>
      <c r="AN65" s="38"/>
      <c r="AO65" s="39"/>
      <c r="AP65" s="38"/>
      <c r="AQ65" s="38"/>
      <c r="AR65" s="38"/>
      <c r="AS65" s="39"/>
      <c r="AT65" s="38"/>
      <c r="AU65" s="38"/>
      <c r="AV65" s="38"/>
      <c r="AW65" s="39"/>
      <c r="AX65" s="77"/>
      <c r="AY65" s="96"/>
      <c r="AZ65" s="9"/>
      <c r="BA65" s="9"/>
      <c r="BB65" s="9"/>
      <c r="BC65" s="123"/>
      <c r="BD65" s="123"/>
      <c r="BE65" s="123"/>
      <c r="BF65" s="129"/>
      <c r="BG65" s="129"/>
      <c r="BH65" s="129"/>
      <c r="BI65" s="127"/>
      <c r="BL65" s="115"/>
      <c r="BM65" s="115"/>
      <c r="BN65" s="115"/>
      <c r="BO65" s="115"/>
      <c r="BP65" s="115"/>
      <c r="BQ65" s="115"/>
      <c r="BR65" s="115"/>
      <c r="BS65" s="115"/>
      <c r="BT65" s="115"/>
    </row>
    <row r="66" spans="1:72" x14ac:dyDescent="0.25">
      <c r="A66" s="40" t="s">
        <v>76</v>
      </c>
      <c r="B66" s="38"/>
      <c r="C66" s="38"/>
      <c r="D66" s="38"/>
      <c r="E66" s="39"/>
      <c r="F66" s="38"/>
      <c r="G66" s="38"/>
      <c r="H66" s="38"/>
      <c r="I66" s="39"/>
      <c r="J66" s="38"/>
      <c r="K66" s="38"/>
      <c r="L66" s="38"/>
      <c r="M66" s="39"/>
      <c r="N66" s="38"/>
      <c r="O66" s="38"/>
      <c r="P66" s="38"/>
      <c r="Q66" s="39"/>
      <c r="R66" s="38"/>
      <c r="S66" s="38"/>
      <c r="T66" s="38"/>
      <c r="U66" s="39"/>
      <c r="V66" s="38"/>
      <c r="W66" s="38"/>
      <c r="X66" s="38"/>
      <c r="Y66" s="39"/>
      <c r="Z66" s="38"/>
      <c r="AA66" s="38"/>
      <c r="AB66" s="38"/>
      <c r="AC66" s="39"/>
      <c r="AD66" s="38"/>
      <c r="AE66" s="38"/>
      <c r="AF66" s="38"/>
      <c r="AG66" s="39"/>
      <c r="AH66" s="38"/>
      <c r="AI66" s="38"/>
      <c r="AJ66" s="38"/>
      <c r="AK66" s="39"/>
      <c r="AL66" s="38"/>
      <c r="AM66" s="38"/>
      <c r="AN66" s="38"/>
      <c r="AO66" s="39"/>
      <c r="AP66" s="38"/>
      <c r="AQ66" s="38"/>
      <c r="AR66" s="38"/>
      <c r="AS66" s="39"/>
      <c r="AT66" s="38"/>
      <c r="AU66" s="38"/>
      <c r="AV66" s="38"/>
      <c r="AW66" s="39"/>
      <c r="AX66" s="82">
        <v>0</v>
      </c>
      <c r="AY66" s="98">
        <v>7500</v>
      </c>
      <c r="AZ66" s="42">
        <v>7500</v>
      </c>
      <c r="BA66" s="42">
        <v>0</v>
      </c>
      <c r="BB66" s="41">
        <v>7500</v>
      </c>
      <c r="BC66" s="123">
        <v>0</v>
      </c>
      <c r="BD66" s="123">
        <v>0</v>
      </c>
      <c r="BE66" s="123">
        <v>0</v>
      </c>
      <c r="BF66" s="130">
        <v>0</v>
      </c>
      <c r="BG66" s="130">
        <v>7500</v>
      </c>
      <c r="BH66" s="130">
        <v>0</v>
      </c>
      <c r="BI66" s="128">
        <v>7500</v>
      </c>
      <c r="BL66" s="115"/>
      <c r="BM66" s="115"/>
      <c r="BN66" s="115"/>
      <c r="BO66" s="115"/>
      <c r="BP66" s="115"/>
      <c r="BQ66" s="115"/>
      <c r="BR66" s="115"/>
      <c r="BS66" s="115"/>
      <c r="BT66" s="115"/>
    </row>
    <row r="67" spans="1:72" x14ac:dyDescent="0.25">
      <c r="A67" s="43" t="s">
        <v>77</v>
      </c>
      <c r="B67" s="44"/>
      <c r="C67" s="44"/>
      <c r="D67" s="44"/>
      <c r="E67" s="45"/>
      <c r="F67" s="44"/>
      <c r="G67" s="44"/>
      <c r="H67" s="44"/>
      <c r="I67" s="45"/>
      <c r="J67" s="44"/>
      <c r="K67" s="44"/>
      <c r="L67" s="44"/>
      <c r="M67" s="45"/>
      <c r="N67" s="44"/>
      <c r="O67" s="44"/>
      <c r="P67" s="44"/>
      <c r="Q67" s="45"/>
      <c r="R67" s="44"/>
      <c r="S67" s="44"/>
      <c r="T67" s="44"/>
      <c r="U67" s="45"/>
      <c r="V67" s="44"/>
      <c r="W67" s="44"/>
      <c r="X67" s="44"/>
      <c r="Y67" s="45"/>
      <c r="Z67" s="44"/>
      <c r="AA67" s="44"/>
      <c r="AB67" s="44"/>
      <c r="AC67" s="45"/>
      <c r="AD67" s="44"/>
      <c r="AE67" s="44"/>
      <c r="AF67" s="44"/>
      <c r="AG67" s="45"/>
      <c r="AH67" s="44"/>
      <c r="AI67" s="44"/>
      <c r="AJ67" s="44"/>
      <c r="AK67" s="45"/>
      <c r="AL67" s="44"/>
      <c r="AM67" s="44"/>
      <c r="AN67" s="44"/>
      <c r="AO67" s="45"/>
      <c r="AP67" s="44"/>
      <c r="AQ67" s="44"/>
      <c r="AR67" s="44"/>
      <c r="AS67" s="45"/>
      <c r="AT67" s="44"/>
      <c r="AU67" s="44"/>
      <c r="AV67" s="44"/>
      <c r="AW67" s="45"/>
      <c r="AX67" s="83">
        <v>5250</v>
      </c>
      <c r="AY67" s="99">
        <v>0</v>
      </c>
      <c r="AZ67" s="46">
        <v>5000</v>
      </c>
      <c r="BA67" s="46">
        <v>0</v>
      </c>
      <c r="BB67" s="46">
        <v>5000</v>
      </c>
      <c r="BC67" s="123">
        <v>0</v>
      </c>
      <c r="BD67" s="123">
        <v>5000</v>
      </c>
      <c r="BE67" s="123">
        <v>5250</v>
      </c>
      <c r="BF67" s="131">
        <v>5250</v>
      </c>
      <c r="BG67" s="131">
        <v>5250</v>
      </c>
      <c r="BH67" s="131">
        <v>5250</v>
      </c>
      <c r="BI67" s="132">
        <v>5250</v>
      </c>
    </row>
    <row r="68" spans="1:72" x14ac:dyDescent="0.25">
      <c r="A68" s="47" t="s">
        <v>78</v>
      </c>
      <c r="B68" s="48"/>
      <c r="C68" s="48"/>
      <c r="D68" s="48"/>
      <c r="E68" s="49"/>
      <c r="F68" s="48"/>
      <c r="G68" s="48"/>
      <c r="H68" s="48"/>
      <c r="I68" s="49"/>
      <c r="J68" s="48"/>
      <c r="K68" s="48"/>
      <c r="L68" s="48"/>
      <c r="M68" s="49"/>
      <c r="N68" s="48"/>
      <c r="O68" s="48"/>
      <c r="P68" s="48"/>
      <c r="Q68" s="49"/>
      <c r="R68" s="48"/>
      <c r="S68" s="48"/>
      <c r="T68" s="48"/>
      <c r="U68" s="49"/>
      <c r="V68" s="48"/>
      <c r="W68" s="48"/>
      <c r="X68" s="48"/>
      <c r="Y68" s="49"/>
      <c r="Z68" s="48"/>
      <c r="AA68" s="48"/>
      <c r="AB68" s="48"/>
      <c r="AC68" s="49"/>
      <c r="AD68" s="48"/>
      <c r="AE68" s="48"/>
      <c r="AF68" s="48"/>
      <c r="AG68" s="49"/>
      <c r="AH68" s="48"/>
      <c r="AI68" s="48"/>
      <c r="AJ68" s="48"/>
      <c r="AK68" s="49"/>
      <c r="AL68" s="48"/>
      <c r="AM68" s="48"/>
      <c r="AN68" s="48"/>
      <c r="AO68" s="49"/>
      <c r="AP68" s="48"/>
      <c r="AQ68" s="48"/>
      <c r="AR68" s="48"/>
      <c r="AS68" s="49"/>
      <c r="AT68" s="48"/>
      <c r="AU68" s="48"/>
      <c r="AV68" s="48"/>
      <c r="AW68" s="49"/>
      <c r="AX68" s="79">
        <v>9500</v>
      </c>
      <c r="AY68" s="21">
        <v>9700</v>
      </c>
      <c r="AZ68" s="50">
        <v>9700</v>
      </c>
      <c r="BA68" s="50">
        <v>10201</v>
      </c>
      <c r="BB68" s="50">
        <v>10201</v>
      </c>
      <c r="BC68" s="116">
        <v>0</v>
      </c>
      <c r="BD68" s="116">
        <v>1500</v>
      </c>
      <c r="BE68" s="116">
        <v>1500</v>
      </c>
      <c r="BF68" s="116">
        <v>1600</v>
      </c>
      <c r="BG68" s="116">
        <v>1700</v>
      </c>
      <c r="BH68" s="116">
        <v>6000</v>
      </c>
      <c r="BI68" s="117">
        <v>7000</v>
      </c>
    </row>
    <row r="69" spans="1:72" x14ac:dyDescent="0.25">
      <c r="A69" s="51"/>
      <c r="B69" s="52"/>
      <c r="C69" s="52"/>
      <c r="D69" s="52"/>
      <c r="E69" s="53"/>
      <c r="F69" s="52"/>
      <c r="G69" s="52"/>
      <c r="H69" s="52"/>
      <c r="I69" s="53"/>
      <c r="J69" s="52"/>
      <c r="K69" s="52"/>
      <c r="L69" s="52"/>
      <c r="M69" s="53"/>
      <c r="N69" s="52"/>
      <c r="O69" s="52"/>
      <c r="P69" s="52"/>
      <c r="Q69" s="53"/>
      <c r="R69" s="52"/>
      <c r="S69" s="52"/>
      <c r="T69" s="52"/>
      <c r="U69" s="53"/>
      <c r="V69" s="52"/>
      <c r="W69" s="52"/>
      <c r="X69" s="52"/>
      <c r="Y69" s="53"/>
      <c r="Z69" s="52"/>
      <c r="AA69" s="52"/>
      <c r="AB69" s="52"/>
      <c r="AC69" s="53"/>
      <c r="AD69" s="52"/>
      <c r="AE69" s="52"/>
      <c r="AF69" s="52"/>
      <c r="AG69" s="53"/>
      <c r="AH69" s="52"/>
      <c r="AI69" s="52"/>
      <c r="AJ69" s="52"/>
      <c r="AK69" s="53"/>
      <c r="AL69" s="52"/>
      <c r="AM69" s="52"/>
      <c r="AN69" s="52"/>
      <c r="AO69" s="53"/>
      <c r="AP69" s="52"/>
      <c r="AQ69" s="52"/>
      <c r="AR69" s="52"/>
      <c r="AS69" s="53"/>
      <c r="AT69" s="52"/>
      <c r="AU69" s="52"/>
      <c r="AV69" s="52"/>
      <c r="AW69" s="53"/>
      <c r="AX69" s="84"/>
      <c r="AY69" s="54"/>
      <c r="AZ69" s="54"/>
      <c r="BA69" s="54"/>
      <c r="BB69" s="54"/>
      <c r="BC69" s="54"/>
      <c r="BD69" s="54"/>
      <c r="BE69" s="54"/>
      <c r="BF69" s="54"/>
      <c r="BG69" s="110"/>
      <c r="BH69" s="110"/>
      <c r="BI69" s="55"/>
    </row>
    <row r="70" spans="1:72" x14ac:dyDescent="0.25">
      <c r="A70" s="3" t="s">
        <v>36</v>
      </c>
      <c r="B70" s="38" t="e">
        <f>((((((((((((((((((((((B13)+(B14))+(#REF!))+(B19))+(#REF!))+(#REF!))+(B28))+(B29))+(B30))+(#REF!))+(B39))+(B43))+(B44))+(#REF!))+(B55))+(#REF!))+(#REF!))+(B56))+(B58))+(B60))+(#REF!))+(#REF!))+(#REF!)</f>
        <v>#REF!</v>
      </c>
      <c r="C70" s="38" t="e">
        <f>((((((((((((((((((((((C13)+(C14))+(#REF!))+(C19))+(#REF!))+(#REF!))+(C28))+(C29))+(C30))+(#REF!))+(C39))+(C43))+(C44))+(#REF!))+(C55))+(#REF!))+(#REF!))+(C56))+(C58))+(C60))+(#REF!))+(#REF!))+(#REF!)</f>
        <v>#REF!</v>
      </c>
      <c r="D70" s="38" t="e">
        <f t="shared" si="54"/>
        <v>#REF!</v>
      </c>
      <c r="E70" s="39" t="e">
        <f t="shared" si="55"/>
        <v>#REF!</v>
      </c>
      <c r="F70" s="38" t="e">
        <f>((((((((((((((((((((((F13)+(F14))+(#REF!))+(F19))+(#REF!))+(#REF!))+(F28))+(F29))+(F30))+(#REF!))+(F39))+(F43))+(F44))+(#REF!))+(F55))+(#REF!))+(#REF!))+(F56))+(F58))+(F60))+(#REF!))+(#REF!))+(#REF!)</f>
        <v>#REF!</v>
      </c>
      <c r="G70" s="38" t="e">
        <f>((((((((((((((((((((((G13)+(G14))+(#REF!))+(G19))+(#REF!))+(#REF!))+(G28))+(G29))+(G30))+(#REF!))+(G39))+(G43))+(G44))+(#REF!))+(G55))+(#REF!))+(#REF!))+(G56))+(G58))+(G60))+(#REF!))+(#REF!))+(#REF!)</f>
        <v>#REF!</v>
      </c>
      <c r="H70" s="38" t="e">
        <f t="shared" si="56"/>
        <v>#REF!</v>
      </c>
      <c r="I70" s="39" t="e">
        <f t="shared" si="57"/>
        <v>#REF!</v>
      </c>
      <c r="J70" s="38" t="e">
        <f>((((((((((((((((((((((J13)+(J14))+(#REF!))+(J19))+(#REF!))+(#REF!))+(J28))+(J29))+(J30))+(#REF!))+(J39))+(J43))+(J44))+(#REF!))+(J55))+(#REF!))+(#REF!))+(J56))+(J58))+(J60))+(#REF!))+(#REF!))+(#REF!)</f>
        <v>#REF!</v>
      </c>
      <c r="K70" s="38" t="e">
        <f>((((((((((((((((((((((K13)+(K14))+(#REF!))+(K19))+(#REF!))+(#REF!))+(K28))+(K29))+(K30))+(#REF!))+(K39))+(K43))+(K44))+(#REF!))+(K55))+(#REF!))+(#REF!))+(K56))+(K58))+(K60))+(#REF!))+(#REF!))+(#REF!)</f>
        <v>#REF!</v>
      </c>
      <c r="L70" s="38" t="e">
        <f t="shared" si="58"/>
        <v>#REF!</v>
      </c>
      <c r="M70" s="39" t="e">
        <f t="shared" si="59"/>
        <v>#REF!</v>
      </c>
      <c r="N70" s="38" t="e">
        <f>((((((((((((((((((((((N13)+(N14))+(#REF!))+(N19))+(#REF!))+(#REF!))+(N28))+(N29))+(N30))+(#REF!))+(N39))+(N43))+(N44))+(#REF!))+(N55))+(#REF!))+(#REF!))+(N56))+(N58))+(N60))+(#REF!))+(#REF!))+(#REF!)</f>
        <v>#REF!</v>
      </c>
      <c r="O70" s="38" t="e">
        <f>((((((((((((((((((((((O13)+(O14))+(#REF!))+(O19))+(#REF!))+(#REF!))+(O28))+(O29))+(O30))+(#REF!))+(O39))+(O43))+(O44))+(#REF!))+(O55))+(#REF!))+(#REF!))+(O56))+(O58))+(O60))+(#REF!))+(#REF!))+(#REF!)</f>
        <v>#REF!</v>
      </c>
      <c r="P70" s="38" t="e">
        <f t="shared" si="60"/>
        <v>#REF!</v>
      </c>
      <c r="Q70" s="39" t="e">
        <f t="shared" si="61"/>
        <v>#REF!</v>
      </c>
      <c r="R70" s="38" t="e">
        <f>((((((((((((((((((((((R13)+(R14))+(#REF!))+(R19))+(#REF!))+(#REF!))+(R28))+(R29))+(R30))+(#REF!))+(R39))+(R43))+(R44))+(#REF!))+(R55))+(#REF!))+(#REF!))+(R56))+(R58))+(R60))+(#REF!))+(#REF!))+(#REF!)</f>
        <v>#REF!</v>
      </c>
      <c r="S70" s="38" t="e">
        <f>((((((((((((((((((((((S13)+(S14))+(#REF!))+(S19))+(#REF!))+(#REF!))+(S28))+(S29))+(S30))+(#REF!))+(S39))+(S43))+(S44))+(#REF!))+(S55))+(#REF!))+(#REF!))+(S56))+(S58))+(S60))+(#REF!))+(#REF!))+(#REF!)</f>
        <v>#REF!</v>
      </c>
      <c r="T70" s="38" t="e">
        <f t="shared" si="62"/>
        <v>#REF!</v>
      </c>
      <c r="U70" s="39" t="e">
        <f t="shared" si="63"/>
        <v>#REF!</v>
      </c>
      <c r="V70" s="38" t="e">
        <f>((((((((((((((((((((((V13)+(V14))+(#REF!))+(V19))+(#REF!))+(#REF!))+(V28))+(V29))+(V30))+(#REF!))+(V39))+(V43))+(V44))+(#REF!))+(V55))+(#REF!))+(#REF!))+(V56))+(V58))+(V60))+(#REF!))+(#REF!))+(#REF!)</f>
        <v>#REF!</v>
      </c>
      <c r="W70" s="38" t="e">
        <f>((((((((((((((((((((((W13)+(W14))+(#REF!))+(W19))+(#REF!))+(#REF!))+(W28))+(W29))+(W30))+(#REF!))+(W39))+(W43))+(W44))+(#REF!))+(W55))+(#REF!))+(#REF!))+(W56))+(W58))+(W60))+(#REF!))+(#REF!))+(#REF!)</f>
        <v>#REF!</v>
      </c>
      <c r="X70" s="38" t="e">
        <f t="shared" si="64"/>
        <v>#REF!</v>
      </c>
      <c r="Y70" s="39" t="e">
        <f t="shared" si="65"/>
        <v>#REF!</v>
      </c>
      <c r="Z70" s="38" t="e">
        <f>((((((((((((((((((((((Z13)+(Z14))+(#REF!))+(Z19))+(#REF!))+(#REF!))+(Z28))+(Z29))+(Z30))+(#REF!))+(Z39))+(Z43))+(Z44))+(#REF!))+(Z55))+(#REF!))+(#REF!))+(Z56))+(Z58))+(Z60))+(#REF!))+(#REF!))+(#REF!)</f>
        <v>#REF!</v>
      </c>
      <c r="AA70" s="38" t="e">
        <f>((((((((((((((((((((((AA13)+(AA14))+(#REF!))+(AA19))+(#REF!))+(#REF!))+(AA28))+(AA29))+(AA30))+(#REF!))+(AA39))+(AA43))+(AA44))+(#REF!))+(AA55))+(#REF!))+(#REF!))+(AA56))+(AA58))+(AA60))+(#REF!))+(#REF!))+(#REF!)</f>
        <v>#REF!</v>
      </c>
      <c r="AB70" s="38" t="e">
        <f t="shared" si="66"/>
        <v>#REF!</v>
      </c>
      <c r="AC70" s="39" t="e">
        <f t="shared" si="67"/>
        <v>#REF!</v>
      </c>
      <c r="AD70" s="38" t="e">
        <f>((((((((((((((((((((((AD13)+(AD14))+(#REF!))+(AD19))+(#REF!))+(#REF!))+(AD28))+(AD29))+(AD30))+(#REF!))+(AD39))+(AD43))+(AD44))+(#REF!))+(AD55))+(#REF!))+(#REF!))+(AD56))+(AD58))+(AD60))+(#REF!))+(#REF!))+(#REF!)</f>
        <v>#REF!</v>
      </c>
      <c r="AE70" s="38" t="e">
        <f>((((((((((((((((((((((AE13)+(AE14))+(#REF!))+(AE19))+(#REF!))+(#REF!))+(AE28))+(AE29))+(AE30))+(#REF!))+(AE39))+(AE43))+(AE44))+(#REF!))+(AE55))+(#REF!))+(#REF!))+(AE56))+(AE58))+(AE60))+(#REF!))+(#REF!))+(#REF!)</f>
        <v>#REF!</v>
      </c>
      <c r="AF70" s="38" t="e">
        <f t="shared" si="68"/>
        <v>#REF!</v>
      </c>
      <c r="AG70" s="39" t="e">
        <f t="shared" si="69"/>
        <v>#REF!</v>
      </c>
      <c r="AH70" s="38" t="e">
        <f>((((((((((((((((((((((AH13)+(AH14))+(#REF!))+(AH19))+(#REF!))+(#REF!))+(AH28))+(AH29))+(AH30))+(#REF!))+(AH39))+(AH43))+(AH44))+(#REF!))+(AH55))+(#REF!))+(#REF!))+(AH56))+(AH58))+(AH60))+(#REF!))+(#REF!))+(#REF!)</f>
        <v>#REF!</v>
      </c>
      <c r="AI70" s="38" t="e">
        <f>((((((((((((((((((((((AI13)+(AI14))+(#REF!))+(AI19))+(#REF!))+(#REF!))+(AI28))+(AI29))+(AI30))+(#REF!))+(AI39))+(AI43))+(AI44))+(#REF!))+(AI55))+(#REF!))+(#REF!))+(AI56))+(AI58))+(AI60))+(#REF!))+(#REF!))+(#REF!)</f>
        <v>#REF!</v>
      </c>
      <c r="AJ70" s="38" t="e">
        <f t="shared" si="70"/>
        <v>#REF!</v>
      </c>
      <c r="AK70" s="39" t="e">
        <f t="shared" si="71"/>
        <v>#REF!</v>
      </c>
      <c r="AL70" s="38" t="e">
        <f>((((((((((((((((((((((AL13)+(AL14))+(#REF!))+(AL19))+(#REF!))+(#REF!))+(AL28))+(AL29))+(AL30))+(#REF!))+(AL39))+(AL43))+(AL44))+(#REF!))+(AL55))+(#REF!))+(#REF!))+(AL56))+(AL58))+(AL60))+(#REF!))+(#REF!))+(#REF!)</f>
        <v>#REF!</v>
      </c>
      <c r="AM70" s="38" t="e">
        <f>((((((((((((((((((((((AM13)+(AM14))+(#REF!))+(AM19))+(#REF!))+(#REF!))+(AM28))+(AM29))+(AM30))+(#REF!))+(AM39))+(AM43))+(AM44))+(#REF!))+(AM55))+(#REF!))+(#REF!))+(AM56))+(AM58))+(AM60))+(#REF!))+(#REF!))+(#REF!)</f>
        <v>#REF!</v>
      </c>
      <c r="AN70" s="38" t="e">
        <f t="shared" si="72"/>
        <v>#REF!</v>
      </c>
      <c r="AO70" s="39" t="e">
        <f t="shared" si="73"/>
        <v>#REF!</v>
      </c>
      <c r="AP70" s="38" t="e">
        <f>((((((((((((((((((((((AP13)+(AP14))+(#REF!))+(AP19))+(#REF!))+(#REF!))+(AP28))+(AP29))+(AP30))+(#REF!))+(AP39))+(AP43))+(AP44))+(#REF!))+(AP55))+(#REF!))+(#REF!))+(AP56))+(AP58))+(AP60))+(#REF!))+(#REF!))+(#REF!)</f>
        <v>#REF!</v>
      </c>
      <c r="AQ70" s="38" t="e">
        <f>((((((((((((((((((((((AQ13)+(AQ14))+(#REF!))+(AQ19))+(#REF!))+(#REF!))+(AQ28))+(AQ29))+(AQ30))+(#REF!))+(AQ39))+(AQ43))+(AQ44))+(#REF!))+(AQ55))+(#REF!))+(#REF!))+(AQ56))+(AQ58))+(AQ60))+(#REF!))+(#REF!))+(#REF!)</f>
        <v>#REF!</v>
      </c>
      <c r="AR70" s="38" t="e">
        <f t="shared" si="74"/>
        <v>#REF!</v>
      </c>
      <c r="AS70" s="39" t="e">
        <f t="shared" si="75"/>
        <v>#REF!</v>
      </c>
      <c r="AT70" s="38" t="e">
        <f>((((((((((((((((((((((AT13)+(AT14))+(#REF!))+(AT19))+(#REF!))+(#REF!))+(AT28))+(AT29))+(AT30))+(#REF!))+(AT39))+(AT43))+(AT44))+(#REF!))+(AT55))+(#REF!))+(#REF!))+(AT56))+(AT58))+(AT60))+(#REF!))+(#REF!))+(#REF!)</f>
        <v>#REF!</v>
      </c>
      <c r="AU70" s="38" t="e">
        <f>((((((((((((((((((((((AU13)+(AU14))+(#REF!))+(AU19))+(#REF!))+(#REF!))+(AU28))+(AU29))+(AU30))+(#REF!))+(AU39))+(AU43))+(AU44))+(#REF!))+(AU55))+(#REF!))+(#REF!))+(AU56))+(AU58))+(AU60))+(#REF!))+(#REF!))+(#REF!)</f>
        <v>#REF!</v>
      </c>
      <c r="AV70" s="38" t="e">
        <f t="shared" si="76"/>
        <v>#REF!</v>
      </c>
      <c r="AW70" s="39" t="e">
        <f t="shared" si="77"/>
        <v>#REF!</v>
      </c>
      <c r="AX70" s="85">
        <f t="shared" ref="AX70:BI70" si="78">SUM(AX13:AX68)</f>
        <v>105868</v>
      </c>
      <c r="AY70" s="56">
        <f t="shared" si="78"/>
        <v>138556.75000000003</v>
      </c>
      <c r="AZ70" s="56">
        <f t="shared" si="78"/>
        <v>138105</v>
      </c>
      <c r="BA70" s="56">
        <f t="shared" ref="BA70" si="79">SUM(BA13:BA68)</f>
        <v>108307.63999999998</v>
      </c>
      <c r="BB70" s="56">
        <f t="shared" si="78"/>
        <v>112416</v>
      </c>
      <c r="BC70" s="118">
        <f t="shared" si="78"/>
        <v>99765</v>
      </c>
      <c r="BD70" s="118">
        <f t="shared" si="78"/>
        <v>111846</v>
      </c>
      <c r="BE70" s="118">
        <f t="shared" ref="BE70" si="80">SUM(BE13:BE68)</f>
        <v>127405</v>
      </c>
      <c r="BF70" s="118">
        <f t="shared" ref="BF70:BH70" si="81">SUM(BF13:BF68)</f>
        <v>130610</v>
      </c>
      <c r="BG70" s="118">
        <f t="shared" si="81"/>
        <v>143505</v>
      </c>
      <c r="BH70" s="118">
        <f t="shared" si="81"/>
        <v>143297.75</v>
      </c>
      <c r="BI70" s="119">
        <f t="shared" si="78"/>
        <v>146745</v>
      </c>
    </row>
    <row r="71" spans="1:72" x14ac:dyDescent="0.25">
      <c r="A71" s="139" t="s">
        <v>98</v>
      </c>
      <c r="B71" s="57"/>
      <c r="C71" s="57"/>
      <c r="D71" s="57"/>
      <c r="E71" s="58"/>
      <c r="F71" s="57"/>
      <c r="G71" s="57"/>
      <c r="H71" s="57"/>
      <c r="I71" s="58"/>
      <c r="J71" s="57"/>
      <c r="K71" s="57"/>
      <c r="L71" s="57"/>
      <c r="M71" s="58"/>
      <c r="N71" s="57"/>
      <c r="O71" s="57"/>
      <c r="P71" s="57"/>
      <c r="Q71" s="58"/>
      <c r="R71" s="57"/>
      <c r="S71" s="57"/>
      <c r="T71" s="57"/>
      <c r="U71" s="58"/>
      <c r="V71" s="57"/>
      <c r="W71" s="57"/>
      <c r="X71" s="57"/>
      <c r="Y71" s="58"/>
      <c r="Z71" s="57"/>
      <c r="AA71" s="57"/>
      <c r="AB71" s="57"/>
      <c r="AC71" s="58"/>
      <c r="AD71" s="57"/>
      <c r="AE71" s="57"/>
      <c r="AF71" s="57"/>
      <c r="AG71" s="58"/>
      <c r="AH71" s="57"/>
      <c r="AI71" s="57"/>
      <c r="AJ71" s="57"/>
      <c r="AK71" s="58"/>
      <c r="AL71" s="57"/>
      <c r="AM71" s="57"/>
      <c r="AN71" s="57"/>
      <c r="AO71" s="58"/>
      <c r="AP71" s="57"/>
      <c r="AQ71" s="57"/>
      <c r="AR71" s="57"/>
      <c r="AS71" s="58"/>
      <c r="AT71" s="57"/>
      <c r="AU71" s="57"/>
      <c r="AV71" s="57"/>
      <c r="AW71" s="58"/>
      <c r="AX71" s="86">
        <v>0</v>
      </c>
      <c r="AY71" s="59">
        <v>0</v>
      </c>
      <c r="AZ71" s="59">
        <f t="shared" ref="AZ71:BB71" si="82">AZ70*0.015</f>
        <v>2071.5749999999998</v>
      </c>
      <c r="BA71" s="59">
        <v>0</v>
      </c>
      <c r="BB71" s="59">
        <f t="shared" si="82"/>
        <v>1686.24</v>
      </c>
      <c r="BC71" s="120">
        <v>0</v>
      </c>
      <c r="BD71" s="120">
        <f>BD70*0.012</f>
        <v>1342.152</v>
      </c>
      <c r="BE71" s="120">
        <f>BE70*0.023</f>
        <v>2930.3150000000001</v>
      </c>
      <c r="BF71" s="120">
        <f t="shared" ref="BF71:BI71" si="83">BF70*0.023</f>
        <v>3004.0299999999997</v>
      </c>
      <c r="BG71" s="120">
        <f t="shared" si="83"/>
        <v>3300.6149999999998</v>
      </c>
      <c r="BH71" s="120">
        <f t="shared" si="83"/>
        <v>3295.84825</v>
      </c>
      <c r="BI71" s="119">
        <f t="shared" si="83"/>
        <v>3375.1349999999998</v>
      </c>
    </row>
    <row r="72" spans="1:72" x14ac:dyDescent="0.25">
      <c r="A72" s="18" t="s">
        <v>40</v>
      </c>
      <c r="B72" s="19" t="e">
        <f>(B11)-(B70)</f>
        <v>#REF!</v>
      </c>
      <c r="C72" s="19" t="e">
        <f>(C11)-(C70)</f>
        <v>#REF!</v>
      </c>
      <c r="D72" s="19" t="e">
        <f t="shared" si="54"/>
        <v>#REF!</v>
      </c>
      <c r="E72" s="20" t="e">
        <f t="shared" si="55"/>
        <v>#REF!</v>
      </c>
      <c r="F72" s="19" t="e">
        <f>(F11)-(F70)</f>
        <v>#REF!</v>
      </c>
      <c r="G72" s="19" t="e">
        <f>(G11)-(G70)</f>
        <v>#REF!</v>
      </c>
      <c r="H72" s="19" t="e">
        <f t="shared" si="56"/>
        <v>#REF!</v>
      </c>
      <c r="I72" s="20" t="e">
        <f t="shared" si="57"/>
        <v>#REF!</v>
      </c>
      <c r="J72" s="19" t="e">
        <f>(J11)-(J70)</f>
        <v>#REF!</v>
      </c>
      <c r="K72" s="19" t="e">
        <f>(K11)-(K70)</f>
        <v>#REF!</v>
      </c>
      <c r="L72" s="19" t="e">
        <f t="shared" si="58"/>
        <v>#REF!</v>
      </c>
      <c r="M72" s="20" t="e">
        <f t="shared" si="59"/>
        <v>#REF!</v>
      </c>
      <c r="N72" s="19" t="e">
        <f>(N11)-(N70)</f>
        <v>#REF!</v>
      </c>
      <c r="O72" s="19" t="e">
        <f>(O11)-(O70)</f>
        <v>#REF!</v>
      </c>
      <c r="P72" s="19" t="e">
        <f t="shared" si="60"/>
        <v>#REF!</v>
      </c>
      <c r="Q72" s="20" t="e">
        <f t="shared" si="61"/>
        <v>#REF!</v>
      </c>
      <c r="R72" s="19" t="e">
        <f>(R11)-(R70)</f>
        <v>#REF!</v>
      </c>
      <c r="S72" s="19" t="e">
        <f>(S11)-(S70)</f>
        <v>#REF!</v>
      </c>
      <c r="T72" s="19" t="e">
        <f t="shared" si="62"/>
        <v>#REF!</v>
      </c>
      <c r="U72" s="20" t="e">
        <f t="shared" si="63"/>
        <v>#REF!</v>
      </c>
      <c r="V72" s="19" t="e">
        <f>(V11)-(V70)</f>
        <v>#REF!</v>
      </c>
      <c r="W72" s="19" t="e">
        <f>(W11)-(W70)</f>
        <v>#REF!</v>
      </c>
      <c r="X72" s="19" t="e">
        <f t="shared" si="64"/>
        <v>#REF!</v>
      </c>
      <c r="Y72" s="20" t="e">
        <f t="shared" si="65"/>
        <v>#REF!</v>
      </c>
      <c r="Z72" s="19" t="e">
        <f>(Z11)-(Z70)</f>
        <v>#REF!</v>
      </c>
      <c r="AA72" s="19" t="e">
        <f>(AA11)-(AA70)</f>
        <v>#REF!</v>
      </c>
      <c r="AB72" s="19" t="e">
        <f t="shared" si="66"/>
        <v>#REF!</v>
      </c>
      <c r="AC72" s="20" t="e">
        <f t="shared" si="67"/>
        <v>#REF!</v>
      </c>
      <c r="AD72" s="19" t="e">
        <f>(AD11)-(AD70)</f>
        <v>#REF!</v>
      </c>
      <c r="AE72" s="19" t="e">
        <f>(AE11)-(AE70)</f>
        <v>#REF!</v>
      </c>
      <c r="AF72" s="19" t="e">
        <f t="shared" si="68"/>
        <v>#REF!</v>
      </c>
      <c r="AG72" s="20" t="e">
        <f t="shared" si="69"/>
        <v>#REF!</v>
      </c>
      <c r="AH72" s="19" t="e">
        <f>(AH11)-(AH70)</f>
        <v>#REF!</v>
      </c>
      <c r="AI72" s="19" t="e">
        <f>(AI11)-(AI70)</f>
        <v>#REF!</v>
      </c>
      <c r="AJ72" s="19" t="e">
        <f t="shared" si="70"/>
        <v>#REF!</v>
      </c>
      <c r="AK72" s="20" t="e">
        <f t="shared" si="71"/>
        <v>#REF!</v>
      </c>
      <c r="AL72" s="19" t="e">
        <f>(AL11)-(AL70)</f>
        <v>#REF!</v>
      </c>
      <c r="AM72" s="19" t="e">
        <f>(AM11)-(AM70)</f>
        <v>#REF!</v>
      </c>
      <c r="AN72" s="19" t="e">
        <f t="shared" si="72"/>
        <v>#REF!</v>
      </c>
      <c r="AO72" s="20" t="e">
        <f t="shared" si="73"/>
        <v>#REF!</v>
      </c>
      <c r="AP72" s="19" t="e">
        <f>(AP11)-(AP70)</f>
        <v>#REF!</v>
      </c>
      <c r="AQ72" s="19" t="e">
        <f>(AQ11)-(AQ70)</f>
        <v>#REF!</v>
      </c>
      <c r="AR72" s="19" t="e">
        <f t="shared" si="74"/>
        <v>#REF!</v>
      </c>
      <c r="AS72" s="20" t="e">
        <f t="shared" si="75"/>
        <v>#REF!</v>
      </c>
      <c r="AT72" s="19" t="e">
        <f>(AT11)-(AT70)</f>
        <v>#REF!</v>
      </c>
      <c r="AU72" s="19" t="e">
        <f>(AU11)-(AU70)</f>
        <v>#REF!</v>
      </c>
      <c r="AV72" s="19" t="e">
        <f t="shared" si="76"/>
        <v>#REF!</v>
      </c>
      <c r="AW72" s="20" t="e">
        <f t="shared" si="77"/>
        <v>#REF!</v>
      </c>
      <c r="AX72" s="79">
        <f t="shared" ref="AX72:BI72" si="84">AX70+AX71</f>
        <v>105868</v>
      </c>
      <c r="AY72" s="21">
        <f t="shared" si="84"/>
        <v>138556.75000000003</v>
      </c>
      <c r="AZ72" s="21">
        <f t="shared" si="84"/>
        <v>140176.57500000001</v>
      </c>
      <c r="BA72" s="21">
        <f t="shared" ref="BA72" si="85">BA70+BA71</f>
        <v>108307.63999999998</v>
      </c>
      <c r="BB72" s="21">
        <f t="shared" si="84"/>
        <v>114102.24</v>
      </c>
      <c r="BC72" s="116">
        <f t="shared" ref="BC72" si="86">BC70+BC71</f>
        <v>99765</v>
      </c>
      <c r="BD72" s="116">
        <f t="shared" si="84"/>
        <v>113188.152</v>
      </c>
      <c r="BE72" s="116">
        <f t="shared" ref="BE72" si="87">BE70+BE71</f>
        <v>130335.315</v>
      </c>
      <c r="BF72" s="116">
        <f t="shared" ref="BF72" si="88">BF70+BF71</f>
        <v>133614.03</v>
      </c>
      <c r="BG72" s="116">
        <f t="shared" ref="BG72:BH72" si="89">BG70+BG71</f>
        <v>146805.61499999999</v>
      </c>
      <c r="BH72" s="116">
        <f t="shared" si="89"/>
        <v>146593.59825000001</v>
      </c>
      <c r="BI72" s="117">
        <f t="shared" si="84"/>
        <v>150120.13500000001</v>
      </c>
    </row>
    <row r="73" spans="1:72" x14ac:dyDescent="0.25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87"/>
      <c r="AY73" s="100"/>
      <c r="AZ73" s="62"/>
      <c r="BA73" s="62"/>
      <c r="BB73" s="62"/>
      <c r="BC73" s="62"/>
      <c r="BD73" s="62"/>
      <c r="BE73" s="62"/>
      <c r="BF73" s="62"/>
      <c r="BG73" s="62"/>
      <c r="BH73" s="62"/>
      <c r="BI73" s="63"/>
    </row>
    <row r="74" spans="1:72" x14ac:dyDescent="0.25">
      <c r="A74" s="18" t="s">
        <v>18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88">
        <f t="shared" ref="AX74:BI74" si="90">AX10</f>
        <v>137410</v>
      </c>
      <c r="AY74" s="65">
        <f t="shared" si="90"/>
        <v>173317.58</v>
      </c>
      <c r="AZ74" s="65">
        <f t="shared" si="90"/>
        <v>186156.02</v>
      </c>
      <c r="BA74" s="65">
        <f t="shared" ref="BA74" si="91">BA10</f>
        <v>125267.85</v>
      </c>
      <c r="BB74" s="65">
        <f t="shared" si="90"/>
        <v>124023.54999999999</v>
      </c>
      <c r="BC74" s="140">
        <f>BC10</f>
        <v>141607</v>
      </c>
      <c r="BD74" s="140">
        <f t="shared" si="90"/>
        <v>117823</v>
      </c>
      <c r="BE74" s="140">
        <f t="shared" ref="BE74" si="92">BE10</f>
        <v>165557</v>
      </c>
      <c r="BF74" s="140">
        <f t="shared" ref="BF74" si="93">BF10</f>
        <v>165122.435</v>
      </c>
      <c r="BG74" s="140">
        <f t="shared" ref="BG74:BH74" si="94">BG10</f>
        <v>167904.1925</v>
      </c>
      <c r="BH74" s="140">
        <f t="shared" si="94"/>
        <v>164314.15437500001</v>
      </c>
      <c r="BI74" s="141">
        <f t="shared" si="90"/>
        <v>150376.35571875001</v>
      </c>
    </row>
    <row r="75" spans="1:72" hidden="1" x14ac:dyDescent="0.25">
      <c r="A75" s="22" t="s">
        <v>41</v>
      </c>
      <c r="B75" s="66"/>
      <c r="C75" s="66"/>
      <c r="D75" s="67">
        <f>(B75)-(C75)</f>
        <v>0</v>
      </c>
      <c r="E75" s="68" t="str">
        <f>IF(C75=0,"",(B75)/(C75))</f>
        <v/>
      </c>
      <c r="F75" s="66"/>
      <c r="G75" s="66"/>
      <c r="H75" s="67">
        <f>(F75)-(G75)</f>
        <v>0</v>
      </c>
      <c r="I75" s="68" t="str">
        <f>IF(G75=0,"",(F75)/(G75))</f>
        <v/>
      </c>
      <c r="J75" s="67">
        <f>11.57</f>
        <v>11.57</v>
      </c>
      <c r="K75" s="66"/>
      <c r="L75" s="67">
        <f>(J75)-(K75)</f>
        <v>11.57</v>
      </c>
      <c r="M75" s="68" t="str">
        <f>IF(K75=0,"",(J75)/(K75))</f>
        <v/>
      </c>
      <c r="N75" s="66"/>
      <c r="O75" s="66"/>
      <c r="P75" s="67">
        <f>(N75)-(O75)</f>
        <v>0</v>
      </c>
      <c r="Q75" s="68" t="str">
        <f>IF(O75=0,"",(N75)/(O75))</f>
        <v/>
      </c>
      <c r="R75" s="66"/>
      <c r="S75" s="66"/>
      <c r="T75" s="67">
        <f>(R75)-(S75)</f>
        <v>0</v>
      </c>
      <c r="U75" s="68" t="str">
        <f>IF(S75=0,"",(R75)/(S75))</f>
        <v/>
      </c>
      <c r="V75" s="66"/>
      <c r="W75" s="66"/>
      <c r="X75" s="67">
        <f>(V75)-(W75)</f>
        <v>0</v>
      </c>
      <c r="Y75" s="68" t="str">
        <f>IF(W75=0,"",(V75)/(W75))</f>
        <v/>
      </c>
      <c r="Z75" s="66"/>
      <c r="AA75" s="66"/>
      <c r="AB75" s="67">
        <f>(Z75)-(AA75)</f>
        <v>0</v>
      </c>
      <c r="AC75" s="68" t="str">
        <f>IF(AA75=0,"",(Z75)/(AA75))</f>
        <v/>
      </c>
      <c r="AD75" s="66"/>
      <c r="AE75" s="66"/>
      <c r="AF75" s="67">
        <f>(AD75)-(AE75)</f>
        <v>0</v>
      </c>
      <c r="AG75" s="68" t="str">
        <f>IF(AE75=0,"",(AD75)/(AE75))</f>
        <v/>
      </c>
      <c r="AH75" s="66"/>
      <c r="AI75" s="66"/>
      <c r="AJ75" s="67">
        <f>(AH75)-(AI75)</f>
        <v>0</v>
      </c>
      <c r="AK75" s="68" t="str">
        <f>IF(AI75=0,"",(AH75)/(AI75))</f>
        <v/>
      </c>
      <c r="AL75" s="66"/>
      <c r="AM75" s="66"/>
      <c r="AN75" s="67">
        <f>(AL75)-(AM75)</f>
        <v>0</v>
      </c>
      <c r="AO75" s="68" t="str">
        <f>IF(AM75=0,"",(AL75)/(AM75))</f>
        <v/>
      </c>
      <c r="AP75" s="66"/>
      <c r="AQ75" s="66"/>
      <c r="AR75" s="67">
        <f>(AP75)-(AQ75)</f>
        <v>0</v>
      </c>
      <c r="AS75" s="68" t="str">
        <f>IF(AQ75=0,"",(AP75)/(AQ75))</f>
        <v/>
      </c>
      <c r="AT75" s="66"/>
      <c r="AU75" s="66"/>
      <c r="AV75" s="67">
        <f>(AT75)-(AU75)</f>
        <v>0</v>
      </c>
      <c r="AW75" s="68" t="str">
        <f>IF(AU75=0,"",(AT75)/(AU75))</f>
        <v/>
      </c>
      <c r="AX75" s="89"/>
      <c r="AY75" s="69"/>
      <c r="AZ75" s="69"/>
      <c r="BA75" s="69"/>
      <c r="BB75" s="69"/>
      <c r="BC75" s="142"/>
      <c r="BD75" s="142"/>
      <c r="BE75" s="142"/>
      <c r="BF75" s="142"/>
      <c r="BG75" s="142"/>
      <c r="BH75" s="142"/>
      <c r="BI75" s="143"/>
    </row>
    <row r="76" spans="1:72" hidden="1" x14ac:dyDescent="0.25">
      <c r="A76" s="22" t="s">
        <v>42</v>
      </c>
      <c r="B76" s="66"/>
      <c r="C76" s="66"/>
      <c r="D76" s="67"/>
      <c r="E76" s="68"/>
      <c r="F76" s="66"/>
      <c r="G76" s="66"/>
      <c r="H76" s="67"/>
      <c r="I76" s="68"/>
      <c r="J76" s="67"/>
      <c r="K76" s="66"/>
      <c r="L76" s="67"/>
      <c r="M76" s="68"/>
      <c r="N76" s="66"/>
      <c r="O76" s="66"/>
      <c r="P76" s="67"/>
      <c r="Q76" s="68"/>
      <c r="R76" s="66"/>
      <c r="S76" s="66"/>
      <c r="T76" s="67"/>
      <c r="U76" s="68"/>
      <c r="V76" s="66"/>
      <c r="W76" s="66"/>
      <c r="X76" s="67"/>
      <c r="Y76" s="68"/>
      <c r="Z76" s="66"/>
      <c r="AA76" s="66"/>
      <c r="AB76" s="67"/>
      <c r="AC76" s="68"/>
      <c r="AD76" s="66"/>
      <c r="AE76" s="66"/>
      <c r="AF76" s="67"/>
      <c r="AG76" s="68"/>
      <c r="AH76" s="66"/>
      <c r="AI76" s="66"/>
      <c r="AJ76" s="67"/>
      <c r="AK76" s="68"/>
      <c r="AL76" s="66"/>
      <c r="AM76" s="66"/>
      <c r="AN76" s="67"/>
      <c r="AO76" s="68"/>
      <c r="AP76" s="66"/>
      <c r="AQ76" s="66"/>
      <c r="AR76" s="67"/>
      <c r="AS76" s="68"/>
      <c r="AT76" s="66"/>
      <c r="AU76" s="66"/>
      <c r="AV76" s="67"/>
      <c r="AW76" s="68"/>
      <c r="AX76" s="90">
        <v>0</v>
      </c>
      <c r="AY76" s="70">
        <v>0</v>
      </c>
      <c r="AZ76" s="70">
        <v>0</v>
      </c>
      <c r="BA76" s="70">
        <v>0</v>
      </c>
      <c r="BB76" s="70">
        <v>0</v>
      </c>
      <c r="BC76" s="144"/>
      <c r="BD76" s="144">
        <v>0</v>
      </c>
      <c r="BE76" s="144">
        <v>0</v>
      </c>
      <c r="BF76" s="144">
        <v>0</v>
      </c>
      <c r="BG76" s="144"/>
      <c r="BH76" s="144"/>
      <c r="BI76" s="145">
        <v>0</v>
      </c>
    </row>
    <row r="77" spans="1:72" hidden="1" x14ac:dyDescent="0.25">
      <c r="A77" s="22" t="s">
        <v>18</v>
      </c>
      <c r="B77" s="23">
        <f>B75</f>
        <v>0</v>
      </c>
      <c r="C77" s="23">
        <f>C75</f>
        <v>0</v>
      </c>
      <c r="D77" s="23">
        <f>(B77)-(C77)</f>
        <v>0</v>
      </c>
      <c r="E77" s="24" t="str">
        <f>IF(C77=0,"",(B77)/(C77))</f>
        <v/>
      </c>
      <c r="F77" s="23">
        <f>F75</f>
        <v>0</v>
      </c>
      <c r="G77" s="23">
        <f>G75</f>
        <v>0</v>
      </c>
      <c r="H77" s="23">
        <f>(F77)-(G77)</f>
        <v>0</v>
      </c>
      <c r="I77" s="24" t="str">
        <f>IF(G77=0,"",(F77)/(G77))</f>
        <v/>
      </c>
      <c r="J77" s="23">
        <f>J75</f>
        <v>11.57</v>
      </c>
      <c r="K77" s="23">
        <f>K75</f>
        <v>0</v>
      </c>
      <c r="L77" s="23">
        <f>(J77)-(K77)</f>
        <v>11.57</v>
      </c>
      <c r="M77" s="24" t="str">
        <f>IF(K77=0,"",(J77)/(K77))</f>
        <v/>
      </c>
      <c r="N77" s="23">
        <f>N75</f>
        <v>0</v>
      </c>
      <c r="O77" s="23">
        <f>O75</f>
        <v>0</v>
      </c>
      <c r="P77" s="23">
        <f>(N77)-(O77)</f>
        <v>0</v>
      </c>
      <c r="Q77" s="24" t="str">
        <f>IF(O77=0,"",(N77)/(O77))</f>
        <v/>
      </c>
      <c r="R77" s="23">
        <f>R75</f>
        <v>0</v>
      </c>
      <c r="S77" s="23">
        <f>S75</f>
        <v>0</v>
      </c>
      <c r="T77" s="23">
        <f>(R77)-(S77)</f>
        <v>0</v>
      </c>
      <c r="U77" s="24" t="str">
        <f>IF(S77=0,"",(R77)/(S77))</f>
        <v/>
      </c>
      <c r="V77" s="23">
        <f>V75</f>
        <v>0</v>
      </c>
      <c r="W77" s="23">
        <f>W75</f>
        <v>0</v>
      </c>
      <c r="X77" s="23">
        <f>(V77)-(W77)</f>
        <v>0</v>
      </c>
      <c r="Y77" s="24" t="str">
        <f>IF(W77=0,"",(V77)/(W77))</f>
        <v/>
      </c>
      <c r="Z77" s="23">
        <f>Z75</f>
        <v>0</v>
      </c>
      <c r="AA77" s="23">
        <f>AA75</f>
        <v>0</v>
      </c>
      <c r="AB77" s="23">
        <f>(Z77)-(AA77)</f>
        <v>0</v>
      </c>
      <c r="AC77" s="24" t="str">
        <f>IF(AA77=0,"",(Z77)/(AA77))</f>
        <v/>
      </c>
      <c r="AD77" s="23">
        <f>AD75</f>
        <v>0</v>
      </c>
      <c r="AE77" s="23">
        <f>AE75</f>
        <v>0</v>
      </c>
      <c r="AF77" s="23">
        <f>(AD77)-(AE77)</f>
        <v>0</v>
      </c>
      <c r="AG77" s="24" t="str">
        <f>IF(AE77=0,"",(AD77)/(AE77))</f>
        <v/>
      </c>
      <c r="AH77" s="23">
        <f>AH75</f>
        <v>0</v>
      </c>
      <c r="AI77" s="23">
        <f>AI75</f>
        <v>0</v>
      </c>
      <c r="AJ77" s="23">
        <f>(AH77)-(AI77)</f>
        <v>0</v>
      </c>
      <c r="AK77" s="24" t="str">
        <f>IF(AI77=0,"",(AH77)/(AI77))</f>
        <v/>
      </c>
      <c r="AL77" s="23">
        <f>AL75</f>
        <v>0</v>
      </c>
      <c r="AM77" s="23">
        <f>AM75</f>
        <v>0</v>
      </c>
      <c r="AN77" s="23">
        <f>(AL77)-(AM77)</f>
        <v>0</v>
      </c>
      <c r="AO77" s="24" t="str">
        <f>IF(AM77=0,"",(AL77)/(AM77))</f>
        <v/>
      </c>
      <c r="AP77" s="23">
        <f>AP75</f>
        <v>0</v>
      </c>
      <c r="AQ77" s="23">
        <f>AQ75</f>
        <v>0</v>
      </c>
      <c r="AR77" s="23">
        <f>(AP77)-(AQ77)</f>
        <v>0</v>
      </c>
      <c r="AS77" s="24" t="str">
        <f>IF(AQ77=0,"",(AP77)/(AQ77))</f>
        <v/>
      </c>
      <c r="AT77" s="23">
        <f>AT75</f>
        <v>0</v>
      </c>
      <c r="AU77" s="23">
        <f>AU75</f>
        <v>0</v>
      </c>
      <c r="AV77" s="23">
        <f>(AT77)-(AU77)</f>
        <v>0</v>
      </c>
      <c r="AW77" s="24" t="str">
        <f>IF(AU77=0,"",(AT77)/(AU77))</f>
        <v/>
      </c>
      <c r="AX77" s="80">
        <f>AX74+AX75</f>
        <v>137410</v>
      </c>
      <c r="AY77" s="25">
        <f t="shared" ref="AY77:BI77" si="95">SUM(AY74:AY76)</f>
        <v>173317.58</v>
      </c>
      <c r="AZ77" s="25">
        <f t="shared" si="95"/>
        <v>186156.02</v>
      </c>
      <c r="BA77" s="25">
        <f t="shared" ref="BA77" si="96">SUM(BA74:BA76)</f>
        <v>125267.85</v>
      </c>
      <c r="BB77" s="25">
        <f t="shared" si="95"/>
        <v>124023.54999999999</v>
      </c>
      <c r="BC77" s="146"/>
      <c r="BD77" s="146">
        <f t="shared" si="95"/>
        <v>117823</v>
      </c>
      <c r="BE77" s="146">
        <f t="shared" ref="BE77" si="97">SUM(BE74:BE76)</f>
        <v>165557</v>
      </c>
      <c r="BF77" s="146">
        <f t="shared" ref="BF77" si="98">SUM(BF74:BF76)</f>
        <v>165122.435</v>
      </c>
      <c r="BG77" s="146"/>
      <c r="BH77" s="146"/>
      <c r="BI77" s="147">
        <f t="shared" si="95"/>
        <v>150376.35571875001</v>
      </c>
    </row>
    <row r="78" spans="1:72" x14ac:dyDescent="0.25">
      <c r="A78" s="27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81"/>
      <c r="AY78" s="29"/>
      <c r="AZ78" s="29"/>
      <c r="BA78" s="29"/>
      <c r="BB78" s="29"/>
      <c r="BC78" s="148"/>
      <c r="BD78" s="148"/>
      <c r="BE78" s="148"/>
      <c r="BF78" s="148"/>
      <c r="BG78" s="149"/>
      <c r="BH78" s="149"/>
      <c r="BI78" s="150"/>
    </row>
    <row r="79" spans="1:72" ht="15.75" thickBot="1" x14ac:dyDescent="0.3">
      <c r="A79" s="71" t="s">
        <v>44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91">
        <f t="shared" ref="AX79:BI79" si="99">AX74-AX72</f>
        <v>31542</v>
      </c>
      <c r="AY79" s="92">
        <f t="shared" si="99"/>
        <v>34760.829999999958</v>
      </c>
      <c r="AZ79" s="92">
        <f t="shared" si="99"/>
        <v>45979.444999999978</v>
      </c>
      <c r="BA79" s="92">
        <f t="shared" ref="BA79" si="100">BA74-BA72</f>
        <v>16960.210000000021</v>
      </c>
      <c r="BB79" s="92">
        <f t="shared" si="99"/>
        <v>9921.3099999999831</v>
      </c>
      <c r="BC79" s="151">
        <f t="shared" ref="BC79" si="101">BC74-BC72</f>
        <v>41842</v>
      </c>
      <c r="BD79" s="151">
        <f t="shared" si="99"/>
        <v>4634.8479999999981</v>
      </c>
      <c r="BE79" s="151">
        <f t="shared" ref="BE79" si="102">BE74-BE72</f>
        <v>35221.684999999998</v>
      </c>
      <c r="BF79" s="151">
        <f t="shared" ref="BF79:BH79" si="103">BF74-BF72</f>
        <v>31508.404999999999</v>
      </c>
      <c r="BG79" s="151">
        <f t="shared" si="103"/>
        <v>21098.577500000014</v>
      </c>
      <c r="BH79" s="151">
        <f t="shared" si="103"/>
        <v>17720.556125000003</v>
      </c>
      <c r="BI79" s="152">
        <f t="shared" si="99"/>
        <v>256.22071875000256</v>
      </c>
    </row>
    <row r="80" spans="1:72" ht="45" customHeight="1" x14ac:dyDescent="0.25"/>
    <row r="81" spans="1:54" s="73" customFormat="1" x14ac:dyDescent="0.25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53"/>
      <c r="AH81" s="153"/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</row>
    <row r="82" spans="1:54" s="73" customFormat="1" x14ac:dyDescent="0.25">
      <c r="AY82" s="74"/>
    </row>
    <row r="83" spans="1:54" s="73" customFormat="1" x14ac:dyDescent="0.25"/>
    <row r="84" spans="1:54" s="73" customFormat="1" x14ac:dyDescent="0.25">
      <c r="AX84" s="74"/>
    </row>
    <row r="85" spans="1:54" s="73" customFormat="1" x14ac:dyDescent="0.25"/>
    <row r="86" spans="1:54" s="73" customFormat="1" x14ac:dyDescent="0.25"/>
    <row r="87" spans="1:54" s="73" customFormat="1" x14ac:dyDescent="0.25"/>
    <row r="88" spans="1:54" s="73" customFormat="1" x14ac:dyDescent="0.25"/>
    <row r="89" spans="1:54" s="73" customFormat="1" x14ac:dyDescent="0.25">
      <c r="AX89" s="75"/>
    </row>
    <row r="90" spans="1:54" s="73" customFormat="1" x14ac:dyDescent="0.25"/>
    <row r="91" spans="1:54" s="73" customFormat="1" x14ac:dyDescent="0.25"/>
    <row r="92" spans="1:54" s="73" customFormat="1" x14ac:dyDescent="0.25"/>
    <row r="93" spans="1:54" s="73" customFormat="1" x14ac:dyDescent="0.25"/>
    <row r="94" spans="1:54" s="73" customFormat="1" x14ac:dyDescent="0.25">
      <c r="AX94" s="74"/>
    </row>
    <row r="95" spans="1:54" s="73" customFormat="1" x14ac:dyDescent="0.25"/>
    <row r="96" spans="1:54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</sheetData>
  <mergeCells count="16">
    <mergeCell ref="A81:BB81"/>
    <mergeCell ref="AP3:AS3"/>
    <mergeCell ref="AT3:AW3"/>
    <mergeCell ref="AX3:BB3"/>
    <mergeCell ref="A1:BI1"/>
    <mergeCell ref="A2:BI2"/>
    <mergeCell ref="V3:Y3"/>
    <mergeCell ref="Z3:AC3"/>
    <mergeCell ref="AD3:AG3"/>
    <mergeCell ref="AH3:AK3"/>
    <mergeCell ref="AL3:AO3"/>
    <mergeCell ref="B3:E3"/>
    <mergeCell ref="F3:I3"/>
    <mergeCell ref="J3:M3"/>
    <mergeCell ref="N3:Q3"/>
    <mergeCell ref="R3:U3"/>
  </mergeCells>
  <phoneticPr fontId="9" type="noConversion"/>
  <printOptions horizontalCentered="1"/>
  <pageMargins left="0.45" right="0.45" top="0.25" bottom="0.2" header="0.3" footer="0.3"/>
  <pageSetup scale="84" fitToHeight="2" orientation="landscape" r:id="rId1"/>
  <rowBreaks count="1" manualBreakCount="1">
    <brk id="38" max="55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 Year Projection</vt:lpstr>
      <vt:lpstr>'5 Year Projection'!Print_Area</vt:lpstr>
      <vt:lpstr>'5 Year Projection'!Print_Titles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Paschal</cp:lastModifiedBy>
  <cp:lastPrinted>2022-01-03T17:45:32Z</cp:lastPrinted>
  <dcterms:created xsi:type="dcterms:W3CDTF">2017-06-25T23:15:48Z</dcterms:created>
  <dcterms:modified xsi:type="dcterms:W3CDTF">2024-02-21T02:11:07Z</dcterms:modified>
</cp:coreProperties>
</file>